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'รับ-จ่ายเงินสด'!$A$1:$H$109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<sst xmlns="http://schemas.openxmlformats.org/spreadsheetml/2006/main" count="430" uniqueCount="301">
  <si>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</si>
  <si>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</si>
  <si>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</si>
  <si>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</si>
  <si>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</si>
  <si>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</si>
  <si>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</si>
  <si>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</si>
  <si>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</si>
  <si>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</si>
  <si>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</si>
  <si>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</si>
  <si>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</si>
  <si>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</si>
  <si>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</si>
  <si>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</si>
  <si>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</si>
  <si>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</si>
  <si>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</si>
  <si>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</si>
  <si>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</si>
  <si>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</si>
  <si>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</si>
  <si>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</si>
  <si>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</si>
  <si>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</si>
  <si>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</si>
  <si>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</si>
  <si>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</si>
  <si>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</si>
  <si>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</si>
  <si>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</si>
  <si>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</si>
  <si>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</si>
  <si>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</si>
  <si>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</si>
  <si>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</si>
  <si>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</si>
  <si>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</si>
  <si>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</si>
  <si>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</si>
  <si>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</si>
  <si>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</si>
  <si>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</si>
  <si>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</si>
  <si>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</si>
  <si>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</si>
  <si>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</si>
  <si>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</si>
  <si>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</si>
  <si>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</si>
  <si>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</si>
  <si>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</si>
  <si>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</si>
  <si>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</si>
  <si>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</si>
  <si>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</si>
  <si>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</si>
  <si>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</si>
  <si>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</si>
  <si>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</si>
  <si>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</si>
  <si>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</si>
  <si>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</si>
  <si>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</si>
  <si>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</si>
  <si>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</si>
  <si>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</si>
  <si>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</si>
  <si>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</si>
  <si>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</si>
  <si>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</si>
  <si>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</si>
  <si>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</si>
  <si>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</si>
  <si>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</si>
  <si>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</si>
  <si>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</si>
  <si>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</si>
  <si>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</si>
  <si>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</si>
  <si>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</si>
  <si>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</si>
  <si>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</si>
  <si>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</si>
  <si>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</si>
  <si>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</si>
  <si>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</si>
  <si>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</si>
  <si>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</si>
  <si>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</si>
  <si>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</si>
  <si>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</si>
  <si>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</si>
  <si>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</si>
  <si>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</si>
  <si>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</si>
  <si>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</si>
  <si>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</si>
  <si>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</si>
  <si>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</si>
  <si>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</si>
  <si>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</si>
  <si>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</si>
  <si>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</si>
  <si>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(นายปุรินทร์  บุรีภักดี)</t>
  </si>
  <si>
    <t>รายรับ</t>
  </si>
  <si>
    <t>เงินรายได้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</si>
  <si>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</si>
  <si>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</si>
  <si>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</si>
  <si>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เงินเฉพาะกิจ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</si>
  <si>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</si>
  <si>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</si>
  <si>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</si>
  <si>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</si>
  <si>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</si>
  <si>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</si>
  <si>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</si>
  <si>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</si>
  <si>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</si>
  <si>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</si>
  <si>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</si>
  <si>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</si>
  <si>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</si>
  <si>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</si>
  <si>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</si>
  <si>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</si>
  <si>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</si>
  <si>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</si>
  <si>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</si>
  <si>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</si>
  <si>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</si>
  <si>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</si>
  <si>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</si>
  <si>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</si>
  <si>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</si>
  <si>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</si>
  <si>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</si>
  <si>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</si>
  <si>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</si>
  <si>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</si>
  <si>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</si>
  <si>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</si>
  <si>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</si>
  <si>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</si>
  <si>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</si>
  <si>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</si>
  <si>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</si>
  <si>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</si>
  <si>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</si>
  <si>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</si>
  <si>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</si>
  <si>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</si>
  <si>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</si>
  <si>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</si>
  <si>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</si>
  <si>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</si>
  <si>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</si>
  <si>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</si>
  <si>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</si>
  <si>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</si>
  <si>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</si>
  <si>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</si>
  <si>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</si>
  <si>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</si>
  <si>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</si>
  <si>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</si>
  <si>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</si>
  <si>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</si>
  <si>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ยกไปช่องซ้ายมือ</t>
  </si>
  <si>
    <t>step 3</t>
  </si>
  <si>
    <t>step 1 ยกมาจากเดือนก่อน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</si>
  <si>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</si>
  <si>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</si>
  <si>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</si>
  <si>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</si>
  <si>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</si>
  <si>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</si>
  <si>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</si>
  <si>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</si>
  <si>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</si>
  <si>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</si>
  <si>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</si>
  <si>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</si>
  <si>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</si>
  <si>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</si>
  <si>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</si>
  <si>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</si>
  <si>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</si>
  <si>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</si>
  <si>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</si>
  <si>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</si>
  <si>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</si>
  <si>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</si>
  <si>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</si>
  <si>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ประจำเดือนตุลาคม พ.ศ. 2556 ตามที่แนบท้ายประกาศนี้</t>
  </si>
  <si>
    <t>ปลัดองค์การบริหารส่วนตำบลปฏิบัติหน้าที่</t>
  </si>
  <si>
    <t>วันที่  31  ตุลาคม  2556</t>
  </si>
  <si>
    <t>เรื่อง  รายงานแสดงรายรับรายจ่ายและงบทดลอง  ประจำเดือนตุลาคม  2556</t>
  </si>
  <si>
    <t xml:space="preserve">       ณ  วันที่  31  ตุลาคม  พ.ศ.  2556</t>
  </si>
  <si>
    <t>บัญชีครุภัณฑ์</t>
  </si>
  <si>
    <t>บัญชีเงินรับฝาก  (หมายเหตุ 2)  ณ  วันที่ 31  ตุลาคม พ.ศ. 2556</t>
  </si>
  <si>
    <t>บัญชีรายจ่ายค้างจ่าย   (หมายเหตุ3)   ณ  วันที่  31  ตุลาคม  พ.ศ. 2556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</si>
  <si>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</si>
  <si>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</si>
  <si>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</si>
  <si>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</si>
  <si>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</si>
  <si>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</si>
  <si>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</si>
  <si>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</si>
  <si>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</si>
  <si>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</si>
  <si>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</si>
  <si>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</si>
  <si>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</si>
  <si>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</si>
  <si>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</si>
  <si>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ยอดคงเหลือตามรายงานธนาคาร ณ วันที่  31  ตุลาคม  2556</t>
  </si>
  <si>
    <t>รายละเอียด  (หัก)  เช็คที่อนุมัติแล้วผู้มีสิทธิยังไม่มารับ</t>
  </si>
  <si>
    <t>ยอดคงเหลือตามบัญชี ณ วันที่  31   ตุลาคม  2556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</si>
  <si>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</si>
  <si>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</si>
  <si>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</si>
  <si>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</si>
  <si>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>ยอดคงเหลือตามบัญชี ณ วันที่ วันที่  31  ตุลาคม  2556</t>
  </si>
  <si>
    <t>ยอดคงเหลือตามบัญชี ณ วันที่  31  ตุลาคม  2556</t>
  </si>
  <si>
    <t xml:space="preserve">          ตำแหน่ง นักวิชาการเงินและบัญชี</t>
  </si>
  <si>
    <t>ประจำเดือน ตุลาคม  2556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</si>
  <si>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</si>
  <si>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</si>
  <si>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</si>
  <si>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</si>
  <si>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ประจำเดือน ตุลาคม   2556</t>
  </si>
  <si>
    <t>บัญชีเงินรายรับ  (หมายเหตุ 1)  ณ  วันที่ 31  ตุลาคม  พ.ศ. 2556</t>
  </si>
  <si>
    <t>บัญชีรายจ่ายรอจ่าย  (หมายเหตุ 4)   ณ  วันที่  31  ตุลาตม  พ.ศ. 2556</t>
  </si>
  <si>
    <t>ปีงบประมาณ 2557</t>
  </si>
  <si>
    <t xml:space="preserve"> 28 ตุลาคม 2556</t>
  </si>
  <si>
    <t>0115575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</si>
  <si>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</si>
  <si>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</si>
  <si>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</si>
  <si>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</si>
  <si>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</si>
  <si>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</si>
  <si>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</si>
  <si>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</si>
  <si>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</si>
  <si>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</si>
  <si>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</si>
  <si>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</si>
  <si>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</si>
  <si>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</si>
  <si>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</si>
  <si>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</si>
  <si>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</si>
  <si>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</si>
  <si>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</si>
  <si>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</si>
  <si>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</si>
  <si>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</si>
  <si>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</si>
  <si>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</si>
  <si>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</si>
  <si>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</si>
  <si>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</si>
  <si>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</si>
  <si>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</si>
  <si>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</si>
  <si>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</si>
  <si>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</si>
  <si>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</si>
  <si>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</si>
  <si>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</si>
  <si>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</si>
  <si>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</si>
  <si>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</si>
  <si>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</si>
  <si>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</si>
  <si>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</si>
  <si>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</si>
  <si>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</si>
  <si>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</si>
  <si>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</si>
  <si>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</si>
  <si>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</si>
  <si>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</si>
  <si>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</si>
  <si>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</si>
  <si>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</si>
  <si>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</si>
  <si>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</si>
  <si>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</si>
  <si>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</si>
  <si>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</si>
  <si>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</si>
  <si>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</si>
  <si>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</si>
  <si>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</si>
  <si>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ประกาศ  ณ  วันที่     4     พฤศจิกายน  พ.ศ.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</si>
</sst>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2" fillId="0" borderId="19" xfId="0" applyFont="1" applyBorder="1" applyAlignment="1" quotePrefix="1">
      <alignment horizontal="left"/>
    </xf>
    <xf numFmtId="0" fontId="32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3" fillId="0" borderId="0" xfId="0" applyFont="1" applyAlignment="1">
      <alignment/>
    </xf>
    <xf numFmtId="43" fontId="33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3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3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4" fillId="0" borderId="25" xfId="55" applyFont="1" applyBorder="1" applyAlignment="1">
      <alignment shrinkToFit="1"/>
    </xf>
    <xf numFmtId="43" fontId="35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6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3" fillId="0" borderId="0" xfId="55" applyFont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4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66675</xdr:rowOff>
    </xdr:from>
    <xdr:to>
      <xdr:col>6</xdr:col>
      <xdr:colOff>485775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6195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18</xdr:row>
      <xdr:rowOff>28575</xdr:rowOff>
    </xdr:from>
    <xdr:to>
      <xdr:col>7</xdr:col>
      <xdr:colOff>85725</xdr:colOff>
      <xdr:row>21</xdr:row>
      <xdr:rowOff>66675</xdr:rowOff>
    </xdr:to>
    <xdr:pic>
      <xdr:nvPicPr>
        <xdr:cNvPr id="2" name="Picture 1" descr="ลายเซ็นปลัด"/>
        <xdr:cNvPicPr preferRelativeResize="1">
          <a:picLocks noChangeAspect="1"/>
        </xdr:cNvPicPr>
      </xdr:nvPicPr>
      <xdr:blipFill>
        <a:blip r:embed="rId2"/>
        <a:srcRect l="56221" t="26191" r="38754" b="66915"/>
        <a:stretch>
          <a:fillRect/>
        </a:stretch>
      </xdr:blipFill>
      <xdr:spPr>
        <a:xfrm>
          <a:off x="3724275" y="419100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4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6.57421875" style="177" customWidth="1"/>
    <col min="2" max="16384" width="9.140625" style="177" customWidth="1"/>
  </cols>
  <sheetData>
    <row r="6" spans="2:11" ht="20.25">
      <c r="B6" s="217" t="s">
        <v>147</v>
      </c>
      <c r="C6" s="217"/>
      <c r="D6" s="217"/>
      <c r="E6" s="217"/>
      <c r="F6" s="217"/>
      <c r="G6" s="217"/>
      <c r="H6" s="217"/>
      <c r="I6" s="217"/>
      <c r="J6" s="217"/>
      <c r="K6" s="217"/>
    </row>
    <row r="7" spans="2:11" ht="20.25">
      <c r="B7" s="217" t="s">
        <v>199</v>
      </c>
      <c r="C7" s="217"/>
      <c r="D7" s="217"/>
      <c r="E7" s="217"/>
      <c r="F7" s="217"/>
      <c r="G7" s="217"/>
      <c r="H7" s="217"/>
      <c r="I7" s="217"/>
      <c r="J7" s="217"/>
      <c r="K7" s="217"/>
    </row>
    <row r="8" spans="2:11" ht="20.25">
      <c r="B8" s="217" t="s">
        <v>148</v>
      </c>
      <c r="C8" s="217"/>
      <c r="D8" s="217"/>
      <c r="E8" s="217"/>
      <c r="F8" s="217"/>
      <c r="G8" s="217"/>
      <c r="H8" s="217"/>
      <c r="I8" s="217"/>
      <c r="J8" s="217"/>
      <c r="K8" s="217"/>
    </row>
    <row r="10" ht="20.25">
      <c r="C10" s="177" t="s">
        <v>149</v>
      </c>
    </row>
    <row r="11" ht="20.25">
      <c r="B11" s="177" t="s">
        <v>150</v>
      </c>
    </row>
    <row r="12" ht="20.25">
      <c r="B12" s="177" t="s">
        <v>151</v>
      </c>
    </row>
    <row r="13" ht="20.25">
      <c r="B13" s="177" t="s">
        <v>152</v>
      </c>
    </row>
    <row r="15" ht="20.25">
      <c r="C15" s="177" t="s">
        <v>153</v>
      </c>
    </row>
    <row r="16" ht="20.25">
      <c r="B16" s="177" t="s">
        <v>196</v>
      </c>
    </row>
    <row r="18" ht="20.25">
      <c r="D18" s="177" t="s">
        <v>300</v>
      </c>
    </row>
    <row r="22" spans="6:9" ht="20.25">
      <c r="F22" s="217" t="s">
        <v>105</v>
      </c>
      <c r="G22" s="217"/>
      <c r="H22" s="217"/>
      <c r="I22" s="217"/>
    </row>
    <row r="23" spans="6:9" ht="20.25">
      <c r="F23" s="217" t="s">
        <v>197</v>
      </c>
      <c r="G23" s="217"/>
      <c r="H23" s="217"/>
      <c r="I23" s="217"/>
    </row>
    <row r="24" spans="6:9" ht="20.25">
      <c r="F24" s="217" t="s">
        <v>61</v>
      </c>
      <c r="G24" s="217"/>
      <c r="H24" s="217"/>
      <c r="I24" s="217"/>
    </row>
  </sheetData>
  <sheetProtection/>
  <mergeCells count="6">
    <mergeCell ref="F24:I24"/>
    <mergeCell ref="F23:I23"/>
    <mergeCell ref="B6:K6"/>
    <mergeCell ref="B7:K7"/>
    <mergeCell ref="F22:I22"/>
    <mergeCell ref="B8:K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selection activeCell="A42" sqref="A42:IV62"/>
    </sheetView>
  </sheetViews>
  <sheetFormatPr defaultColWidth="9.140625" defaultRowHeight="12.75"/>
  <cols>
    <col min="1" max="1" width="40.421875" style="188" customWidth="1"/>
    <col min="2" max="2" width="8.7109375" style="188" customWidth="1"/>
    <col min="3" max="3" width="20.421875" style="189" customWidth="1"/>
    <col min="4" max="4" width="22.8515625" style="189" customWidth="1"/>
    <col min="5" max="5" width="19.57421875" style="188" customWidth="1"/>
    <col min="6" max="6" width="13.421875" style="189" customWidth="1"/>
    <col min="7" max="7" width="1.1484375" style="188" customWidth="1"/>
    <col min="8" max="8" width="17.7109375" style="188" customWidth="1"/>
    <col min="9" max="9" width="12.00390625" style="188" bestFit="1" customWidth="1"/>
    <col min="10" max="16384" width="9.140625" style="188" customWidth="1"/>
  </cols>
  <sheetData>
    <row r="1" spans="1:6" s="9" customFormat="1" ht="21">
      <c r="A1" s="219" t="s">
        <v>41</v>
      </c>
      <c r="B1" s="219"/>
      <c r="C1" s="219"/>
      <c r="D1" s="219"/>
      <c r="F1" s="69"/>
    </row>
    <row r="2" spans="1:6" s="9" customFormat="1" ht="21">
      <c r="A2" s="219" t="s">
        <v>66</v>
      </c>
      <c r="B2" s="219"/>
      <c r="C2" s="219"/>
      <c r="D2" s="219"/>
      <c r="F2" s="69"/>
    </row>
    <row r="3" spans="1:6" s="9" customFormat="1" ht="21">
      <c r="A3" s="219" t="s">
        <v>200</v>
      </c>
      <c r="B3" s="219"/>
      <c r="C3" s="219"/>
      <c r="D3" s="219"/>
      <c r="F3" s="69"/>
    </row>
    <row r="4" spans="1:8" s="9" customFormat="1" ht="21">
      <c r="A4" s="197" t="s">
        <v>42</v>
      </c>
      <c r="B4" s="197" t="s">
        <v>43</v>
      </c>
      <c r="C4" s="198" t="s">
        <v>44</v>
      </c>
      <c r="D4" s="198" t="s">
        <v>45</v>
      </c>
      <c r="E4" s="199"/>
      <c r="F4" s="200"/>
      <c r="H4" s="193"/>
    </row>
    <row r="5" spans="1:9" s="9" customFormat="1" ht="21">
      <c r="A5" s="201" t="s">
        <v>46</v>
      </c>
      <c r="B5" s="202">
        <v>110100</v>
      </c>
      <c r="C5" s="203">
        <f>SUM(9950-9950)</f>
        <v>0</v>
      </c>
      <c r="D5" s="203"/>
      <c r="E5" s="204"/>
      <c r="F5" s="205"/>
      <c r="G5" s="206"/>
      <c r="H5" s="207"/>
      <c r="I5" s="207"/>
    </row>
    <row r="6" spans="1:8" s="9" customFormat="1" ht="21">
      <c r="A6" s="201" t="s">
        <v>266</v>
      </c>
      <c r="B6" s="202">
        <v>120100</v>
      </c>
      <c r="C6" s="203">
        <f>SUM(555817.01)</f>
        <v>555817.01</v>
      </c>
      <c r="D6" s="203"/>
      <c r="E6" s="204"/>
      <c r="F6" s="208"/>
      <c r="G6" s="206"/>
      <c r="H6" s="207"/>
    </row>
    <row r="7" spans="1:7" s="9" customFormat="1" ht="21">
      <c r="A7" s="209" t="s">
        <v>47</v>
      </c>
      <c r="B7" s="202">
        <v>1102011</v>
      </c>
      <c r="C7" s="203">
        <f>SUM(5464970.94-500708.82)</f>
        <v>4964262.12</v>
      </c>
      <c r="D7" s="203"/>
      <c r="E7" s="210"/>
      <c r="F7" s="205"/>
      <c r="G7" s="206"/>
    </row>
    <row r="8" spans="1:7" s="9" customFormat="1" ht="21">
      <c r="A8" s="209" t="s">
        <v>49</v>
      </c>
      <c r="B8" s="202">
        <v>1102012</v>
      </c>
      <c r="C8" s="203">
        <f>SUM(234507.33)</f>
        <v>234507.33</v>
      </c>
      <c r="D8" s="203"/>
      <c r="E8" s="210"/>
      <c r="F8" s="205"/>
      <c r="G8" s="206"/>
    </row>
    <row r="9" spans="1:8" s="9" customFormat="1" ht="21">
      <c r="A9" s="209" t="s">
        <v>0</v>
      </c>
      <c r="B9" s="202">
        <v>1102013</v>
      </c>
      <c r="C9" s="203">
        <f>SUM(15962849.98+9950-1239873.9)</f>
        <v>14732926.08</v>
      </c>
      <c r="D9" s="203"/>
      <c r="E9" s="211"/>
      <c r="F9" s="205"/>
      <c r="G9" s="206"/>
      <c r="H9" s="207"/>
    </row>
    <row r="10" spans="1:7" s="9" customFormat="1" ht="21">
      <c r="A10" s="209" t="s">
        <v>48</v>
      </c>
      <c r="B10" s="202">
        <v>1102021</v>
      </c>
      <c r="C10" s="203">
        <f>SUM(1019998.41)</f>
        <v>1019998.41</v>
      </c>
      <c r="D10" s="203"/>
      <c r="E10" s="210"/>
      <c r="F10" s="205"/>
      <c r="G10" s="206"/>
    </row>
    <row r="11" spans="1:7" s="9" customFormat="1" ht="21">
      <c r="A11" s="209" t="s">
        <v>81</v>
      </c>
      <c r="B11" s="202">
        <v>1102022</v>
      </c>
      <c r="C11" s="203">
        <f>SUM(7849709.51)</f>
        <v>7849709.51</v>
      </c>
      <c r="D11" s="203"/>
      <c r="E11" s="210"/>
      <c r="F11" s="205"/>
      <c r="G11" s="206"/>
    </row>
    <row r="12" spans="1:9" s="9" customFormat="1" ht="21">
      <c r="A12" s="209" t="s">
        <v>62</v>
      </c>
      <c r="B12" s="202">
        <v>1102033</v>
      </c>
      <c r="C12" s="203">
        <f>SUM(32561.21+442885.26)</f>
        <v>475446.47000000003</v>
      </c>
      <c r="D12" s="203"/>
      <c r="E12" s="210"/>
      <c r="F12" s="205"/>
      <c r="G12" s="206"/>
      <c r="I12" s="207"/>
    </row>
    <row r="13" spans="1:7" s="9" customFormat="1" ht="21">
      <c r="A13" s="209" t="s">
        <v>161</v>
      </c>
      <c r="B13" s="212">
        <v>110604</v>
      </c>
      <c r="C13" s="203">
        <f>SUM(917967)</f>
        <v>917967</v>
      </c>
      <c r="D13" s="203"/>
      <c r="F13" s="206"/>
      <c r="G13" s="206"/>
    </row>
    <row r="14" spans="1:7" s="9" customFormat="1" ht="21">
      <c r="A14" s="209" t="s">
        <v>85</v>
      </c>
      <c r="B14" s="202">
        <v>110605</v>
      </c>
      <c r="C14" s="203">
        <f>SUM(7350-7350+180250-180250)</f>
        <v>0</v>
      </c>
      <c r="D14" s="203"/>
      <c r="F14" s="206"/>
      <c r="G14" s="206"/>
    </row>
    <row r="15" spans="1:7" s="9" customFormat="1" ht="21">
      <c r="A15" s="209" t="s">
        <v>169</v>
      </c>
      <c r="B15" s="202">
        <v>110606</v>
      </c>
      <c r="C15" s="203">
        <f>SUM(506600)</f>
        <v>506600</v>
      </c>
      <c r="D15" s="203"/>
      <c r="E15" s="207"/>
      <c r="F15" s="206"/>
      <c r="G15" s="206"/>
    </row>
    <row r="16" spans="1:7" s="9" customFormat="1" ht="21">
      <c r="A16" s="209" t="s">
        <v>173</v>
      </c>
      <c r="B16" s="202">
        <v>210200</v>
      </c>
      <c r="C16" s="203"/>
      <c r="D16" s="203">
        <f>SUM(7350-7350)</f>
        <v>0</v>
      </c>
      <c r="F16" s="206"/>
      <c r="G16" s="206"/>
    </row>
    <row r="17" spans="1:7" s="9" customFormat="1" ht="21">
      <c r="A17" s="209" t="s">
        <v>176</v>
      </c>
      <c r="B17" s="202">
        <v>210402</v>
      </c>
      <c r="C17" s="203"/>
      <c r="D17" s="203">
        <f>SUM(3086683.34-336803.34)</f>
        <v>2749880</v>
      </c>
      <c r="F17" s="206"/>
      <c r="G17" s="206"/>
    </row>
    <row r="18" spans="1:7" s="9" customFormat="1" ht="21">
      <c r="A18" s="209" t="s">
        <v>177</v>
      </c>
      <c r="B18" s="202">
        <v>210500</v>
      </c>
      <c r="C18" s="203"/>
      <c r="D18" s="203">
        <f>SUM(867710)</f>
        <v>867710</v>
      </c>
      <c r="F18" s="206"/>
      <c r="G18" s="206"/>
    </row>
    <row r="19" spans="1:7" s="9" customFormat="1" ht="21">
      <c r="A19" s="209" t="s">
        <v>155</v>
      </c>
      <c r="B19" s="212">
        <v>230100</v>
      </c>
      <c r="C19" s="203"/>
      <c r="D19" s="203">
        <v>1598905.08</v>
      </c>
      <c r="E19" s="213"/>
      <c r="F19" s="206"/>
      <c r="G19" s="206"/>
    </row>
    <row r="20" spans="1:7" s="9" customFormat="1" ht="21">
      <c r="A20" s="209" t="s">
        <v>59</v>
      </c>
      <c r="B20" s="202">
        <v>300000</v>
      </c>
      <c r="C20" s="203"/>
      <c r="D20" s="203">
        <f>SUM(16527578.17-199000)</f>
        <v>16328578.17</v>
      </c>
      <c r="E20" s="207"/>
      <c r="F20" s="206"/>
      <c r="G20" s="206"/>
    </row>
    <row r="21" spans="1:7" s="9" customFormat="1" ht="21">
      <c r="A21" s="209" t="s">
        <v>6</v>
      </c>
      <c r="B21" s="212">
        <v>320000</v>
      </c>
      <c r="C21" s="203"/>
      <c r="D21" s="203">
        <f>SUM(9412837.76)</f>
        <v>9412837.76</v>
      </c>
      <c r="E21" s="207"/>
      <c r="F21" s="206"/>
      <c r="G21" s="206"/>
    </row>
    <row r="22" spans="1:7" s="9" customFormat="1" ht="21">
      <c r="A22" s="209" t="s">
        <v>154</v>
      </c>
      <c r="B22" s="212">
        <v>400000</v>
      </c>
      <c r="C22" s="203"/>
      <c r="D22" s="203">
        <v>998702.27</v>
      </c>
      <c r="E22" s="207"/>
      <c r="F22" s="206"/>
      <c r="G22" s="206"/>
    </row>
    <row r="23" spans="1:7" s="9" customFormat="1" ht="21">
      <c r="A23" s="209" t="s">
        <v>50</v>
      </c>
      <c r="B23" s="202">
        <v>510000</v>
      </c>
      <c r="C23" s="203">
        <f>SUM(4500)</f>
        <v>4500</v>
      </c>
      <c r="D23" s="203"/>
      <c r="F23" s="206"/>
      <c r="G23" s="206"/>
    </row>
    <row r="24" spans="1:8" s="9" customFormat="1" ht="21">
      <c r="A24" s="209" t="s">
        <v>51</v>
      </c>
      <c r="B24" s="212">
        <v>521000</v>
      </c>
      <c r="C24" s="203">
        <f>SUM(363623.35+24000+23560)</f>
        <v>411183.35</v>
      </c>
      <c r="D24" s="203"/>
      <c r="F24" s="206"/>
      <c r="G24" s="206"/>
      <c r="H24" s="207"/>
    </row>
    <row r="25" spans="1:7" s="9" customFormat="1" ht="21">
      <c r="A25" s="209" t="s">
        <v>52</v>
      </c>
      <c r="B25" s="212">
        <v>531000</v>
      </c>
      <c r="C25" s="203">
        <f>SUM(24151)</f>
        <v>24151</v>
      </c>
      <c r="D25" s="203"/>
      <c r="F25" s="206"/>
      <c r="G25" s="206"/>
    </row>
    <row r="26" spans="1:7" s="9" customFormat="1" ht="21">
      <c r="A26" s="209" t="s">
        <v>53</v>
      </c>
      <c r="B26" s="212">
        <v>532000</v>
      </c>
      <c r="C26" s="203">
        <f>SUM(79295+180250)</f>
        <v>259545</v>
      </c>
      <c r="D26" s="203"/>
      <c r="F26" s="206"/>
      <c r="G26" s="206"/>
    </row>
    <row r="27" spans="1:7" s="9" customFormat="1" ht="21">
      <c r="A27" s="209" t="s">
        <v>54</v>
      </c>
      <c r="B27" s="212">
        <v>533000</v>
      </c>
      <c r="C27" s="203">
        <v>0</v>
      </c>
      <c r="D27" s="203"/>
      <c r="F27" s="206"/>
      <c r="G27" s="206"/>
    </row>
    <row r="28" spans="1:7" s="9" customFormat="1" ht="21">
      <c r="A28" s="209" t="s">
        <v>56</v>
      </c>
      <c r="B28" s="212">
        <v>534000</v>
      </c>
      <c r="C28" s="203">
        <v>0</v>
      </c>
      <c r="D28" s="203"/>
      <c r="F28" s="206"/>
      <c r="G28" s="206"/>
    </row>
    <row r="29" spans="1:7" s="9" customFormat="1" ht="21">
      <c r="A29" s="209" t="s">
        <v>55</v>
      </c>
      <c r="B29" s="212">
        <v>541000</v>
      </c>
      <c r="C29" s="203">
        <v>0</v>
      </c>
      <c r="D29" s="203"/>
      <c r="E29" s="252"/>
      <c r="F29" s="206"/>
      <c r="G29" s="206"/>
    </row>
    <row r="30" spans="1:7" s="9" customFormat="1" ht="21">
      <c r="A30" s="209" t="s">
        <v>58</v>
      </c>
      <c r="B30" s="212">
        <v>542000</v>
      </c>
      <c r="C30" s="203">
        <v>0</v>
      </c>
      <c r="D30" s="203"/>
      <c r="F30" s="206"/>
      <c r="G30" s="206"/>
    </row>
    <row r="31" spans="1:7" s="9" customFormat="1" ht="21">
      <c r="A31" s="209" t="s">
        <v>86</v>
      </c>
      <c r="B31" s="212">
        <v>550000</v>
      </c>
      <c r="C31" s="203">
        <v>0</v>
      </c>
      <c r="D31" s="203"/>
      <c r="F31" s="206"/>
      <c r="G31" s="206"/>
    </row>
    <row r="32" spans="1:7" s="9" customFormat="1" ht="21">
      <c r="A32" s="209" t="s">
        <v>57</v>
      </c>
      <c r="B32" s="212">
        <v>560000</v>
      </c>
      <c r="C32" s="203">
        <v>0</v>
      </c>
      <c r="D32" s="203"/>
      <c r="F32" s="206"/>
      <c r="G32" s="206"/>
    </row>
    <row r="33" spans="1:7" s="9" customFormat="1" ht="21">
      <c r="A33" s="209" t="s">
        <v>50</v>
      </c>
      <c r="B33" s="212">
        <v>710000</v>
      </c>
      <c r="C33" s="203">
        <v>0</v>
      </c>
      <c r="D33" s="203"/>
      <c r="F33" s="206"/>
      <c r="G33" s="206"/>
    </row>
    <row r="34" spans="1:7" s="9" customFormat="1" ht="21">
      <c r="A34" s="209" t="s">
        <v>51</v>
      </c>
      <c r="B34" s="212">
        <v>721000</v>
      </c>
      <c r="C34" s="203">
        <v>0</v>
      </c>
      <c r="D34" s="203"/>
      <c r="F34" s="206"/>
      <c r="G34" s="206"/>
    </row>
    <row r="35" spans="1:7" s="9" customFormat="1" ht="21">
      <c r="A35" s="209" t="s">
        <v>53</v>
      </c>
      <c r="B35" s="212">
        <v>732000</v>
      </c>
      <c r="C35" s="203">
        <v>0</v>
      </c>
      <c r="D35" s="203"/>
      <c r="F35" s="206"/>
      <c r="G35" s="206"/>
    </row>
    <row r="36" spans="1:7" s="9" customFormat="1" ht="21">
      <c r="A36" s="209" t="s">
        <v>54</v>
      </c>
      <c r="B36" s="212">
        <v>733000</v>
      </c>
      <c r="C36" s="203">
        <v>0</v>
      </c>
      <c r="D36" s="203"/>
      <c r="F36" s="206"/>
      <c r="G36" s="206"/>
    </row>
    <row r="37" spans="1:7" s="9" customFormat="1" ht="21">
      <c r="A37" s="209" t="s">
        <v>201</v>
      </c>
      <c r="B37" s="212">
        <v>741000</v>
      </c>
      <c r="C37" s="203">
        <v>0</v>
      </c>
      <c r="D37" s="203"/>
      <c r="F37" s="206"/>
      <c r="G37" s="206"/>
    </row>
    <row r="38" spans="1:6" s="9" customFormat="1" ht="21.75" thickBot="1">
      <c r="A38" s="214"/>
      <c r="B38" s="215"/>
      <c r="C38" s="192">
        <f>SUM(C5:C37)</f>
        <v>31956613.28</v>
      </c>
      <c r="D38" s="192">
        <f>SUM(D5:D37)</f>
        <v>31956613.279999997</v>
      </c>
      <c r="E38" s="207"/>
      <c r="F38" s="216"/>
    </row>
    <row r="39" ht="22.5" thickTop="1">
      <c r="E39" s="190"/>
    </row>
    <row r="40" ht="21.75">
      <c r="E40" s="190"/>
    </row>
    <row r="41" ht="21.75">
      <c r="E41" s="190"/>
    </row>
    <row r="61" spans="1:4" ht="21.75">
      <c r="A61" s="220"/>
      <c r="B61" s="220"/>
      <c r="C61" s="220"/>
      <c r="D61" s="220"/>
    </row>
  </sheetData>
  <sheetProtection/>
  <mergeCells count="4">
    <mergeCell ref="A61:D61"/>
    <mergeCell ref="A1:D1"/>
    <mergeCell ref="A2:D2"/>
    <mergeCell ref="A3:D3"/>
  </mergeCells>
  <printOptions/>
  <pageMargins left="0.5511811023622047" right="0.5511811023622047" top="0.5905511811023623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5" sqref="A45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19" t="s">
        <v>60</v>
      </c>
      <c r="B1" s="219"/>
      <c r="C1" s="219"/>
      <c r="D1" s="219"/>
    </row>
    <row r="2" spans="1:4" s="9" customFormat="1" ht="21">
      <c r="A2" s="219" t="s">
        <v>112</v>
      </c>
      <c r="B2" s="219"/>
      <c r="C2" s="219"/>
      <c r="D2" s="219"/>
    </row>
    <row r="3" spans="1:4" s="9" customFormat="1" ht="21">
      <c r="A3" s="221" t="s">
        <v>235</v>
      </c>
      <c r="B3" s="221"/>
      <c r="C3" s="221"/>
      <c r="D3" s="221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0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0</v>
      </c>
      <c r="E6" s="14"/>
    </row>
    <row r="7" spans="1:4" ht="18">
      <c r="A7" s="20" t="s">
        <v>240</v>
      </c>
      <c r="B7" s="21">
        <v>411001</v>
      </c>
      <c r="C7" s="22">
        <v>24400</v>
      </c>
      <c r="D7" s="76">
        <v>0</v>
      </c>
    </row>
    <row r="8" spans="1:5" ht="18">
      <c r="A8" s="25" t="s">
        <v>241</v>
      </c>
      <c r="B8" s="26">
        <v>411002</v>
      </c>
      <c r="C8" s="27">
        <v>44000</v>
      </c>
      <c r="D8" s="77">
        <v>0</v>
      </c>
      <c r="E8" s="14"/>
    </row>
    <row r="9" spans="1:4" ht="18">
      <c r="A9" s="30" t="s">
        <v>242</v>
      </c>
      <c r="B9" s="31">
        <v>411003</v>
      </c>
      <c r="C9" s="32">
        <v>0</v>
      </c>
      <c r="D9" s="78">
        <v>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0</v>
      </c>
    </row>
    <row r="11" spans="1:4" ht="18">
      <c r="A11" s="20" t="s">
        <v>243</v>
      </c>
      <c r="B11" s="21">
        <v>412103</v>
      </c>
      <c r="C11" s="22">
        <v>100</v>
      </c>
      <c r="D11" s="76">
        <v>0</v>
      </c>
    </row>
    <row r="12" spans="1:4" ht="18">
      <c r="A12" s="25" t="s">
        <v>244</v>
      </c>
      <c r="B12" s="26">
        <v>412128</v>
      </c>
      <c r="C12" s="27">
        <v>0</v>
      </c>
      <c r="D12" s="77">
        <v>0</v>
      </c>
    </row>
    <row r="13" spans="1:4" ht="18">
      <c r="A13" s="30" t="s">
        <v>245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0</v>
      </c>
    </row>
    <row r="15" spans="1:4" ht="18">
      <c r="A15" s="34" t="s">
        <v>246</v>
      </c>
      <c r="B15" s="10">
        <v>413003</v>
      </c>
      <c r="C15" s="35">
        <v>282500</v>
      </c>
      <c r="D15" s="75">
        <v>0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SUM(C18:C19)</f>
        <v>75500</v>
      </c>
      <c r="D17" s="76">
        <f>SUM(D18:D19)</f>
        <v>0</v>
      </c>
    </row>
    <row r="18" spans="1:4" ht="18">
      <c r="A18" s="20" t="s">
        <v>248</v>
      </c>
      <c r="B18" s="21">
        <v>415004</v>
      </c>
      <c r="C18" s="24">
        <v>75000</v>
      </c>
      <c r="D18" s="76">
        <v>0</v>
      </c>
    </row>
    <row r="19" spans="1:4" ht="18">
      <c r="A19" s="30" t="s">
        <v>247</v>
      </c>
      <c r="B19" s="31">
        <v>415999</v>
      </c>
      <c r="C19" s="70">
        <v>500</v>
      </c>
      <c r="D19" s="78">
        <v>0</v>
      </c>
    </row>
    <row r="20" spans="1:4" ht="18">
      <c r="A20" s="30" t="s">
        <v>76</v>
      </c>
      <c r="B20" s="15">
        <v>420000</v>
      </c>
      <c r="C20" s="33">
        <f>SUM(C21)</f>
        <v>11570350</v>
      </c>
      <c r="D20" s="78">
        <f>SUM(D21)</f>
        <v>998702.2699999999</v>
      </c>
    </row>
    <row r="21" spans="1:4" ht="18">
      <c r="A21" s="19" t="s">
        <v>71</v>
      </c>
      <c r="B21" s="10">
        <v>421000</v>
      </c>
      <c r="C21" s="11">
        <f>SUM(C22:C30)</f>
        <v>11570350</v>
      </c>
      <c r="D21" s="75">
        <f>SUM(D22:D30)</f>
        <v>998702.2699999999</v>
      </c>
    </row>
    <row r="22" spans="1:4" ht="18">
      <c r="A22" s="20" t="s">
        <v>249</v>
      </c>
      <c r="B22" s="21">
        <v>421001</v>
      </c>
      <c r="C22" s="22">
        <v>100000</v>
      </c>
      <c r="D22" s="76">
        <v>0</v>
      </c>
    </row>
    <row r="23" spans="1:4" ht="18">
      <c r="A23" s="25" t="s">
        <v>256</v>
      </c>
      <c r="B23" s="26">
        <v>421002</v>
      </c>
      <c r="C23" s="27">
        <v>8494050</v>
      </c>
      <c r="D23" s="77">
        <v>555817.01</v>
      </c>
    </row>
    <row r="24" spans="1:4" ht="18">
      <c r="A24" s="25" t="s">
        <v>250</v>
      </c>
      <c r="B24" s="26">
        <v>421004</v>
      </c>
      <c r="C24" s="27">
        <v>0</v>
      </c>
      <c r="D24" s="77">
        <v>167718.93</v>
      </c>
    </row>
    <row r="25" spans="1:4" ht="18">
      <c r="A25" s="25" t="s">
        <v>251</v>
      </c>
      <c r="B25" s="26">
        <v>421005</v>
      </c>
      <c r="C25" s="27">
        <v>26700</v>
      </c>
      <c r="D25" s="77">
        <v>0</v>
      </c>
    </row>
    <row r="26" spans="1:4" ht="18">
      <c r="A26" s="25" t="s">
        <v>252</v>
      </c>
      <c r="B26" s="26">
        <v>421006</v>
      </c>
      <c r="C26" s="27">
        <v>942500</v>
      </c>
      <c r="D26" s="77">
        <v>62950.22</v>
      </c>
    </row>
    <row r="27" spans="1:4" ht="18">
      <c r="A27" s="25" t="s">
        <v>253</v>
      </c>
      <c r="B27" s="26">
        <v>421007</v>
      </c>
      <c r="C27" s="27">
        <v>1693700</v>
      </c>
      <c r="D27" s="77">
        <v>141236.41</v>
      </c>
    </row>
    <row r="28" spans="1:4" ht="18">
      <c r="A28" s="25" t="s">
        <v>254</v>
      </c>
      <c r="B28" s="26">
        <v>421012</v>
      </c>
      <c r="C28" s="27">
        <v>32200</v>
      </c>
      <c r="D28" s="77">
        <v>10679.63</v>
      </c>
    </row>
    <row r="29" spans="1:4" ht="18">
      <c r="A29" s="25" t="s">
        <v>255</v>
      </c>
      <c r="B29" s="26">
        <v>421013</v>
      </c>
      <c r="C29" s="27">
        <v>68800</v>
      </c>
      <c r="D29" s="77">
        <v>23526.07</v>
      </c>
    </row>
    <row r="30" spans="1:4" ht="18">
      <c r="A30" s="30" t="s">
        <v>257</v>
      </c>
      <c r="B30" s="31">
        <v>421015</v>
      </c>
      <c r="C30" s="32">
        <v>212400</v>
      </c>
      <c r="D30" s="78">
        <v>36774</v>
      </c>
    </row>
    <row r="31" spans="1:4" ht="18">
      <c r="A31" s="34" t="s">
        <v>77</v>
      </c>
      <c r="B31" s="17">
        <v>430000</v>
      </c>
      <c r="C31" s="11">
        <f>SUM(C32)</f>
        <v>7629700</v>
      </c>
      <c r="D31" s="75">
        <f>SUM(D32)</f>
        <v>0</v>
      </c>
    </row>
    <row r="32" spans="1:4" ht="18">
      <c r="A32" s="19" t="s">
        <v>78</v>
      </c>
      <c r="B32" s="10">
        <v>431000</v>
      </c>
      <c r="C32" s="11">
        <f>SUM(C33)</f>
        <v>7629700</v>
      </c>
      <c r="D32" s="75">
        <f>SUM(D33)</f>
        <v>0</v>
      </c>
    </row>
    <row r="33" spans="1:4" ht="18">
      <c r="A33" s="34" t="s">
        <v>258</v>
      </c>
      <c r="B33" s="10">
        <v>431002</v>
      </c>
      <c r="C33" s="35">
        <v>7629700</v>
      </c>
      <c r="D33" s="75">
        <v>0</v>
      </c>
    </row>
    <row r="34" spans="1:4" ht="18">
      <c r="A34" s="34" t="s">
        <v>108</v>
      </c>
      <c r="B34" s="17">
        <v>440000</v>
      </c>
      <c r="C34" s="11">
        <f>SUM(C35)</f>
        <v>0</v>
      </c>
      <c r="D34" s="75">
        <f>SUM(D35)</f>
        <v>0</v>
      </c>
    </row>
    <row r="35" spans="1:4" ht="18">
      <c r="A35" s="19" t="s">
        <v>109</v>
      </c>
      <c r="B35" s="10">
        <v>441000</v>
      </c>
      <c r="C35" s="11">
        <f>SUM(C36)</f>
        <v>0</v>
      </c>
      <c r="D35" s="75">
        <f>SUM(D36:D41)</f>
        <v>0</v>
      </c>
    </row>
    <row r="36" spans="1:4" ht="18">
      <c r="A36" s="20" t="s">
        <v>259</v>
      </c>
      <c r="B36" s="21">
        <v>441002</v>
      </c>
      <c r="C36" s="22">
        <v>0</v>
      </c>
      <c r="D36" s="76">
        <v>0</v>
      </c>
    </row>
    <row r="37" spans="1:4" ht="18">
      <c r="A37" s="25" t="s">
        <v>260</v>
      </c>
      <c r="B37" s="26">
        <v>441002</v>
      </c>
      <c r="C37" s="27">
        <v>0</v>
      </c>
      <c r="D37" s="77">
        <v>0</v>
      </c>
    </row>
    <row r="38" spans="1:4" ht="18">
      <c r="A38" s="25" t="s">
        <v>261</v>
      </c>
      <c r="B38" s="154">
        <v>441002</v>
      </c>
      <c r="C38" s="27">
        <v>0</v>
      </c>
      <c r="D38" s="77">
        <v>0</v>
      </c>
    </row>
    <row r="39" spans="1:4" ht="18">
      <c r="A39" s="25" t="s">
        <v>262</v>
      </c>
      <c r="B39" s="154">
        <v>441002</v>
      </c>
      <c r="C39" s="27">
        <v>0</v>
      </c>
      <c r="D39" s="77">
        <v>0</v>
      </c>
    </row>
    <row r="40" spans="1:4" ht="18">
      <c r="A40" s="171" t="s">
        <v>263</v>
      </c>
      <c r="B40" s="154">
        <v>441002</v>
      </c>
      <c r="C40" s="27">
        <v>0</v>
      </c>
      <c r="D40" s="77">
        <v>0</v>
      </c>
    </row>
    <row r="41" spans="1:4" ht="18">
      <c r="A41" s="30" t="s">
        <v>264</v>
      </c>
      <c r="B41" s="154">
        <v>441002</v>
      </c>
      <c r="C41" s="32">
        <v>0</v>
      </c>
      <c r="D41" s="77">
        <v>0</v>
      </c>
    </row>
    <row r="42" spans="1:4" ht="18.75" thickBot="1">
      <c r="A42" s="155" t="s">
        <v>69</v>
      </c>
      <c r="B42" s="34"/>
      <c r="C42" s="36">
        <f>SUM(C5+C20+C31)</f>
        <v>19633850</v>
      </c>
      <c r="D42" s="91">
        <f>SUM(D5+D20+D31+D35)</f>
        <v>998702.2699999999</v>
      </c>
    </row>
    <row r="43" ht="18.75" thickTop="1">
      <c r="E43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8" sqref="A18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2" t="s">
        <v>60</v>
      </c>
      <c r="B1" s="222"/>
      <c r="C1" s="222"/>
      <c r="D1" s="222"/>
      <c r="E1" s="222"/>
    </row>
    <row r="2" spans="1:5" ht="23.25">
      <c r="A2" s="222" t="s">
        <v>113</v>
      </c>
      <c r="B2" s="222"/>
      <c r="C2" s="222"/>
      <c r="D2" s="222"/>
      <c r="E2" s="222"/>
    </row>
    <row r="3" spans="1:4" ht="23.25">
      <c r="A3" s="226"/>
      <c r="B3" s="222"/>
      <c r="C3" s="222"/>
      <c r="D3" s="222"/>
    </row>
    <row r="4" spans="1:4" ht="23.25">
      <c r="A4" s="227" t="s">
        <v>202</v>
      </c>
      <c r="B4" s="228"/>
      <c r="C4" s="228"/>
      <c r="D4" s="228"/>
    </row>
    <row r="5" spans="1:10" ht="23.25">
      <c r="A5" s="179"/>
      <c r="B5" s="182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2571.79</v>
      </c>
      <c r="D6" s="4">
        <f aca="true" t="shared" si="0" ref="C6:E12">SUM(I6)</f>
        <v>1371.82</v>
      </c>
      <c r="E6" s="5">
        <f t="shared" si="0"/>
        <v>2671.79</v>
      </c>
      <c r="G6" s="4">
        <v>1471.82</v>
      </c>
      <c r="H6" s="5">
        <v>2571.79</v>
      </c>
      <c r="I6" s="4">
        <v>1371.82</v>
      </c>
      <c r="J6" s="5">
        <f aca="true" t="shared" si="1" ref="J6:J11">SUM(G6+H6-I6)</f>
        <v>2671.79</v>
      </c>
    </row>
    <row r="7" spans="1:10" ht="23.25">
      <c r="A7" s="1" t="s">
        <v>63</v>
      </c>
      <c r="B7" s="56"/>
      <c r="C7" s="5">
        <f>SUM(H7)</f>
        <v>0</v>
      </c>
      <c r="D7" s="4">
        <f t="shared" si="0"/>
        <v>0</v>
      </c>
      <c r="E7" s="5">
        <f t="shared" si="0"/>
        <v>4964.25</v>
      </c>
      <c r="G7" s="4">
        <v>4964.25</v>
      </c>
      <c r="H7" s="5">
        <v>0</v>
      </c>
      <c r="I7" s="4">
        <v>0</v>
      </c>
      <c r="J7" s="5">
        <f t="shared" si="1"/>
        <v>4964.25</v>
      </c>
    </row>
    <row r="8" spans="1:10" ht="23.25">
      <c r="A8" s="1" t="s">
        <v>64</v>
      </c>
      <c r="B8" s="56"/>
      <c r="C8" s="5">
        <f>SUM(H8)</f>
        <v>0</v>
      </c>
      <c r="D8" s="4">
        <f t="shared" si="0"/>
        <v>0</v>
      </c>
      <c r="E8" s="5">
        <f t="shared" si="0"/>
        <v>9067.68</v>
      </c>
      <c r="G8" s="4">
        <v>9067.68</v>
      </c>
      <c r="H8" s="5">
        <v>0</v>
      </c>
      <c r="I8" s="4">
        <v>0</v>
      </c>
      <c r="J8" s="5">
        <f t="shared" si="1"/>
        <v>9067.68</v>
      </c>
    </row>
    <row r="9" spans="1:10" ht="23.25">
      <c r="A9" s="1" t="s">
        <v>265</v>
      </c>
      <c r="B9" s="56"/>
      <c r="C9" s="5">
        <f>SUM(H9)</f>
        <v>0</v>
      </c>
      <c r="D9" s="4">
        <f>SUM(I9)</f>
        <v>0</v>
      </c>
      <c r="E9" s="5">
        <f>SUM(J9)</f>
        <v>204034</v>
      </c>
      <c r="G9" s="4">
        <v>204034</v>
      </c>
      <c r="H9" s="5">
        <v>0</v>
      </c>
      <c r="I9" s="4">
        <v>0</v>
      </c>
      <c r="J9" s="5">
        <f>SUM(G9+H9-I9)</f>
        <v>204034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168</v>
      </c>
      <c r="B11" s="56"/>
      <c r="C11" s="5">
        <f t="shared" si="0"/>
        <v>0</v>
      </c>
      <c r="D11" s="4">
        <f t="shared" si="0"/>
        <v>0</v>
      </c>
      <c r="E11" s="5">
        <f t="shared" si="0"/>
        <v>1152474.33</v>
      </c>
      <c r="G11" s="4">
        <v>1152474.33</v>
      </c>
      <c r="H11" s="5">
        <v>0</v>
      </c>
      <c r="I11" s="4">
        <v>0</v>
      </c>
      <c r="J11" s="5">
        <f t="shared" si="1"/>
        <v>1152474.33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166</v>
      </c>
      <c r="B13" s="56"/>
      <c r="C13" s="5">
        <f>SUM(H13)</f>
        <v>0</v>
      </c>
      <c r="D13" s="4">
        <f>SUM(I13)</f>
        <v>0</v>
      </c>
      <c r="E13" s="5">
        <f>SUM(J13)</f>
        <v>0</v>
      </c>
      <c r="G13" s="4">
        <v>0</v>
      </c>
      <c r="H13" s="5">
        <v>0</v>
      </c>
      <c r="I13" s="4">
        <v>0</v>
      </c>
      <c r="J13" s="5">
        <f>SUM(G13+H13-I13)</f>
        <v>0</v>
      </c>
    </row>
    <row r="14" spans="2:10" ht="24" thickBot="1">
      <c r="B14" s="56"/>
      <c r="C14" s="3">
        <f>SUM(C6:C13)</f>
        <v>2571.79</v>
      </c>
      <c r="D14" s="3">
        <f>SUM(D6:D13)</f>
        <v>1371.82</v>
      </c>
      <c r="E14" s="6">
        <f>SUM(E6:E13)</f>
        <v>1598905.08</v>
      </c>
      <c r="F14" s="68"/>
      <c r="G14" s="3">
        <f>SUM(G6:G13)</f>
        <v>1597705.11</v>
      </c>
      <c r="H14" s="3">
        <f>SUM(H6:H13)</f>
        <v>2571.79</v>
      </c>
      <c r="I14" s="3">
        <f>SUM(I6:I13)</f>
        <v>1371.82</v>
      </c>
      <c r="J14" s="6">
        <f>SUM(G14+H14-I14)</f>
        <v>1598905.08</v>
      </c>
    </row>
    <row r="15" ht="24" thickTop="1"/>
    <row r="18" spans="1:5" ht="23.25">
      <c r="A18" s="223"/>
      <c r="B18" s="223"/>
      <c r="C18" s="223"/>
      <c r="D18" s="223"/>
      <c r="E18" s="223"/>
    </row>
    <row r="19" spans="1:5" ht="23.25">
      <c r="A19" s="224"/>
      <c r="B19" s="225"/>
      <c r="C19" s="225"/>
      <c r="D19" s="225"/>
      <c r="E19" s="43"/>
    </row>
    <row r="20" spans="1:5" ht="23.25">
      <c r="A20" s="224"/>
      <c r="B20" s="225"/>
      <c r="C20" s="225"/>
      <c r="D20" s="225"/>
      <c r="E20" s="43"/>
    </row>
    <row r="21" spans="1:5" ht="23.25">
      <c r="A21" s="180"/>
      <c r="B21" s="181"/>
      <c r="C21" s="181"/>
      <c r="D21" s="181"/>
      <c r="E21" s="43"/>
    </row>
    <row r="22" spans="1:5" ht="23.25">
      <c r="A22" s="182"/>
      <c r="B22" s="182"/>
      <c r="C22" s="182"/>
      <c r="D22" s="182"/>
      <c r="E22" s="182"/>
    </row>
    <row r="23" spans="1:5" ht="23.25">
      <c r="A23" s="43"/>
      <c r="B23" s="56"/>
      <c r="C23" s="79"/>
      <c r="D23" s="56"/>
      <c r="E23" s="79"/>
    </row>
    <row r="24" spans="1:5" ht="23.25">
      <c r="A24" s="43"/>
      <c r="B24" s="56"/>
      <c r="C24" s="79"/>
      <c r="D24" s="56"/>
      <c r="E24" s="79"/>
    </row>
    <row r="25" spans="1:5" ht="23.25">
      <c r="A25" s="43"/>
      <c r="B25" s="56"/>
      <c r="C25" s="79"/>
      <c r="D25" s="56"/>
      <c r="E25" s="79"/>
    </row>
    <row r="26" spans="1:5" ht="23.25">
      <c r="A26" s="43"/>
      <c r="B26" s="56"/>
      <c r="C26" s="79"/>
      <c r="D26" s="56"/>
      <c r="E26" s="79"/>
    </row>
    <row r="27" spans="1:5" ht="23.25">
      <c r="A27" s="43"/>
      <c r="B27" s="56"/>
      <c r="C27" s="79"/>
      <c r="D27" s="56"/>
      <c r="E27" s="79"/>
    </row>
    <row r="28" spans="1:5" ht="23.25">
      <c r="A28" s="43"/>
      <c r="B28" s="56"/>
      <c r="C28" s="79"/>
      <c r="D28" s="56"/>
      <c r="E28" s="79"/>
    </row>
    <row r="29" spans="1:5" ht="23.25">
      <c r="A29" s="43"/>
      <c r="B29" s="56"/>
      <c r="C29" s="79"/>
      <c r="D29" s="56"/>
      <c r="E29" s="79"/>
    </row>
    <row r="30" spans="1:5" ht="23.25">
      <c r="A30" s="43"/>
      <c r="B30" s="56"/>
      <c r="C30" s="56"/>
      <c r="D30" s="56"/>
      <c r="E30" s="79"/>
    </row>
    <row r="31" spans="1:5" ht="23.25">
      <c r="A31" s="43"/>
      <c r="B31" s="43"/>
      <c r="C31" s="43"/>
      <c r="D31" s="43"/>
      <c r="E31" s="43"/>
    </row>
    <row r="32" spans="1:5" ht="23.25">
      <c r="A32" s="43"/>
      <c r="B32" s="43"/>
      <c r="C32" s="43"/>
      <c r="D32" s="43"/>
      <c r="E32" s="43"/>
    </row>
    <row r="33" spans="1:5" ht="23.25">
      <c r="A33" s="43"/>
      <c r="B33" s="43"/>
      <c r="C33" s="43"/>
      <c r="D33" s="43"/>
      <c r="E33" s="43"/>
    </row>
    <row r="34" spans="1:5" ht="23.25">
      <c r="A34" s="43"/>
      <c r="B34" s="43"/>
      <c r="C34" s="43"/>
      <c r="D34" s="43"/>
      <c r="E34" s="43"/>
    </row>
    <row r="35" spans="1:5" ht="23.25">
      <c r="A35" s="43"/>
      <c r="B35" s="43"/>
      <c r="C35" s="43"/>
      <c r="D35" s="43"/>
      <c r="E35" s="43"/>
    </row>
    <row r="36" spans="1:5" ht="23.25">
      <c r="A36" s="43"/>
      <c r="B36" s="43"/>
      <c r="C36" s="43"/>
      <c r="D36" s="43"/>
      <c r="E36" s="43"/>
    </row>
    <row r="37" spans="1:5" ht="23.25">
      <c r="A37" s="43"/>
      <c r="B37" s="43"/>
      <c r="C37" s="43"/>
      <c r="D37" s="43"/>
      <c r="E37" s="43"/>
    </row>
    <row r="38" spans="1:5" ht="23.25">
      <c r="A38" s="43"/>
      <c r="B38" s="43"/>
      <c r="C38" s="43"/>
      <c r="D38" s="43"/>
      <c r="E38" s="43"/>
    </row>
    <row r="39" spans="1:5" ht="23.25">
      <c r="A39" s="43"/>
      <c r="B39" s="43"/>
      <c r="C39" s="43"/>
      <c r="D39" s="43"/>
      <c r="E39" s="43"/>
    </row>
    <row r="40" spans="1:5" ht="23.25">
      <c r="A40" s="43"/>
      <c r="B40" s="43"/>
      <c r="C40" s="43"/>
      <c r="D40" s="43"/>
      <c r="E40" s="43"/>
    </row>
    <row r="41" spans="1:5" ht="23.25">
      <c r="A41" s="43"/>
      <c r="B41" s="43"/>
      <c r="C41" s="43"/>
      <c r="D41" s="43"/>
      <c r="E41" s="43"/>
    </row>
    <row r="42" spans="1:5" ht="23.25">
      <c r="A42" s="43"/>
      <c r="B42" s="43"/>
      <c r="C42" s="43"/>
      <c r="D42" s="43"/>
      <c r="E42" s="43"/>
    </row>
    <row r="43" spans="1:5" ht="23.25">
      <c r="A43" s="43"/>
      <c r="B43" s="43"/>
      <c r="C43" s="43"/>
      <c r="D43" s="43"/>
      <c r="E43" s="43"/>
    </row>
    <row r="44" spans="1:5" ht="23.25">
      <c r="A44" s="43"/>
      <c r="B44" s="43"/>
      <c r="C44" s="43"/>
      <c r="D44" s="43"/>
      <c r="E44" s="43"/>
    </row>
    <row r="45" spans="1:5" ht="23.25">
      <c r="A45" s="43"/>
      <c r="B45" s="43"/>
      <c r="C45" s="43"/>
      <c r="D45" s="43"/>
      <c r="E45" s="43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  <row r="64" spans="1:5" ht="23.25">
      <c r="A64" s="43"/>
      <c r="B64" s="43"/>
      <c r="C64" s="43"/>
      <c r="D64" s="43"/>
      <c r="E64" s="43"/>
    </row>
  </sheetData>
  <sheetProtection/>
  <mergeCells count="7">
    <mergeCell ref="A18:E18"/>
    <mergeCell ref="A20:D20"/>
    <mergeCell ref="A19:D19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7" sqref="A27:IV39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4" t="s">
        <v>60</v>
      </c>
      <c r="B1" s="234"/>
      <c r="C1" s="234"/>
      <c r="D1" s="234"/>
      <c r="E1" s="234"/>
      <c r="F1" s="234"/>
    </row>
    <row r="2" spans="1:6" ht="16.5">
      <c r="A2" s="234" t="s">
        <v>113</v>
      </c>
      <c r="B2" s="234"/>
      <c r="C2" s="234"/>
      <c r="D2" s="234"/>
      <c r="E2" s="234"/>
      <c r="F2" s="234"/>
    </row>
    <row r="3" spans="1:6" ht="16.5">
      <c r="A3" s="234"/>
      <c r="B3" s="234"/>
      <c r="C3" s="234"/>
      <c r="D3" s="234"/>
      <c r="E3" s="234"/>
      <c r="F3" s="234"/>
    </row>
    <row r="4" spans="1:6" ht="16.5">
      <c r="A4" s="229" t="s">
        <v>203</v>
      </c>
      <c r="B4" s="229"/>
      <c r="C4" s="229"/>
      <c r="D4" s="229"/>
      <c r="E4" s="229"/>
      <c r="F4" s="229"/>
    </row>
    <row r="5" spans="1:6" ht="16.5">
      <c r="A5" s="38"/>
      <c r="B5" s="176"/>
      <c r="C5" s="176"/>
      <c r="D5" s="38"/>
      <c r="E5" s="38"/>
      <c r="F5" s="38"/>
    </row>
    <row r="6" spans="1:6" ht="16.5">
      <c r="A6" s="230" t="s">
        <v>40</v>
      </c>
      <c r="B6" s="232" t="s">
        <v>83</v>
      </c>
      <c r="C6" s="233"/>
      <c r="D6" s="230" t="s">
        <v>178</v>
      </c>
      <c r="E6" s="230" t="s">
        <v>3</v>
      </c>
      <c r="F6" s="230" t="s">
        <v>84</v>
      </c>
    </row>
    <row r="7" spans="1:6" ht="16.5">
      <c r="A7" s="231"/>
      <c r="B7" s="17" t="s">
        <v>179</v>
      </c>
      <c r="C7" s="17" t="s">
        <v>180</v>
      </c>
      <c r="D7" s="231"/>
      <c r="E7" s="231"/>
      <c r="F7" s="231"/>
    </row>
    <row r="8" spans="1:6" ht="16.5">
      <c r="A8" s="186" t="s">
        <v>181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2"/>
    </row>
    <row r="9" spans="1:6" ht="16.5">
      <c r="A9" s="71" t="s">
        <v>204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6"/>
    </row>
    <row r="10" spans="1:6" ht="16.5">
      <c r="A10" s="71" t="s">
        <v>182</v>
      </c>
      <c r="B10" s="28">
        <v>296583.34</v>
      </c>
      <c r="C10" s="164">
        <v>0</v>
      </c>
      <c r="D10" s="165">
        <v>296583.34</v>
      </c>
      <c r="E10" s="28">
        <f t="shared" si="0"/>
        <v>0</v>
      </c>
      <c r="F10" s="166"/>
    </row>
    <row r="11" spans="1:6" ht="16.5">
      <c r="A11" s="71" t="s">
        <v>183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6"/>
    </row>
    <row r="12" spans="1:6" ht="16.5">
      <c r="A12" s="71" t="s">
        <v>205</v>
      </c>
      <c r="B12" s="28">
        <v>9060</v>
      </c>
      <c r="C12" s="163">
        <v>0</v>
      </c>
      <c r="D12" s="29">
        <v>9060</v>
      </c>
      <c r="E12" s="28">
        <f t="shared" si="0"/>
        <v>0</v>
      </c>
      <c r="F12" s="166"/>
    </row>
    <row r="13" spans="1:6" ht="16.5">
      <c r="A13" s="71" t="s">
        <v>184</v>
      </c>
      <c r="B13" s="28">
        <v>14900</v>
      </c>
      <c r="C13" s="163">
        <v>0</v>
      </c>
      <c r="D13" s="29">
        <v>14900</v>
      </c>
      <c r="E13" s="28">
        <f t="shared" si="0"/>
        <v>0</v>
      </c>
      <c r="F13" s="166"/>
    </row>
    <row r="14" spans="1:6" ht="16.5">
      <c r="A14" s="71" t="s">
        <v>206</v>
      </c>
      <c r="B14" s="28">
        <v>1000000</v>
      </c>
      <c r="C14" s="163">
        <v>0</v>
      </c>
      <c r="D14" s="29">
        <v>0</v>
      </c>
      <c r="E14" s="28">
        <f t="shared" si="0"/>
        <v>1000000</v>
      </c>
      <c r="F14" s="166"/>
    </row>
    <row r="15" spans="1:6" ht="16.5">
      <c r="A15" s="152" t="s">
        <v>207</v>
      </c>
      <c r="B15" s="28">
        <v>0</v>
      </c>
      <c r="C15" s="163">
        <v>150000</v>
      </c>
      <c r="D15" s="29">
        <v>0</v>
      </c>
      <c r="E15" s="28">
        <f t="shared" si="0"/>
        <v>150000</v>
      </c>
      <c r="F15" s="166"/>
    </row>
    <row r="16" spans="1:6" ht="16.5">
      <c r="A16" s="71" t="s">
        <v>208</v>
      </c>
      <c r="B16" s="28">
        <v>0</v>
      </c>
      <c r="C16" s="163">
        <v>169340</v>
      </c>
      <c r="D16" s="29">
        <v>0</v>
      </c>
      <c r="E16" s="28">
        <f aca="true" t="shared" si="1" ref="E16:E25">SUM(B16+C16-D16)</f>
        <v>169340</v>
      </c>
      <c r="F16" s="166"/>
    </row>
    <row r="17" spans="1:6" ht="16.5">
      <c r="A17" s="71" t="s">
        <v>209</v>
      </c>
      <c r="B17" s="28">
        <v>0</v>
      </c>
      <c r="C17" s="163">
        <v>102560</v>
      </c>
      <c r="D17" s="29">
        <v>0</v>
      </c>
      <c r="E17" s="28">
        <f t="shared" si="1"/>
        <v>102560</v>
      </c>
      <c r="F17" s="166"/>
    </row>
    <row r="18" spans="1:6" ht="16.5">
      <c r="A18" s="71" t="s">
        <v>210</v>
      </c>
      <c r="B18" s="28">
        <v>0</v>
      </c>
      <c r="C18" s="163">
        <v>179820</v>
      </c>
      <c r="D18" s="29">
        <v>0</v>
      </c>
      <c r="E18" s="28">
        <f t="shared" si="1"/>
        <v>179820</v>
      </c>
      <c r="F18" s="166"/>
    </row>
    <row r="19" spans="1:6" ht="16.5">
      <c r="A19" s="71" t="s">
        <v>211</v>
      </c>
      <c r="B19" s="28">
        <v>0</v>
      </c>
      <c r="C19" s="163">
        <v>170280</v>
      </c>
      <c r="D19" s="29">
        <v>0</v>
      </c>
      <c r="E19" s="28">
        <f t="shared" si="1"/>
        <v>170280</v>
      </c>
      <c r="F19" s="166"/>
    </row>
    <row r="20" spans="1:6" ht="14.25" customHeight="1">
      <c r="A20" s="71" t="s">
        <v>212</v>
      </c>
      <c r="B20" s="28">
        <v>0</v>
      </c>
      <c r="C20" s="163">
        <v>166120</v>
      </c>
      <c r="D20" s="29">
        <v>0</v>
      </c>
      <c r="E20" s="28">
        <f t="shared" si="1"/>
        <v>166120</v>
      </c>
      <c r="F20" s="166"/>
    </row>
    <row r="21" spans="1:6" ht="16.5">
      <c r="A21" s="71" t="s">
        <v>213</v>
      </c>
      <c r="B21" s="28">
        <v>0</v>
      </c>
      <c r="C21" s="163">
        <v>185030</v>
      </c>
      <c r="D21" s="29">
        <v>0</v>
      </c>
      <c r="E21" s="28">
        <f t="shared" si="1"/>
        <v>185030</v>
      </c>
      <c r="F21" s="166"/>
    </row>
    <row r="22" spans="1:6" ht="16.5">
      <c r="A22" s="71" t="s">
        <v>214</v>
      </c>
      <c r="B22" s="28">
        <v>0</v>
      </c>
      <c r="C22" s="163">
        <v>171590</v>
      </c>
      <c r="D22" s="29">
        <v>0</v>
      </c>
      <c r="E22" s="28">
        <f t="shared" si="1"/>
        <v>171590</v>
      </c>
      <c r="F22" s="166"/>
    </row>
    <row r="23" spans="1:6" ht="16.5">
      <c r="A23" s="71" t="s">
        <v>215</v>
      </c>
      <c r="B23" s="28">
        <v>0</v>
      </c>
      <c r="C23" s="163">
        <v>169260</v>
      </c>
      <c r="D23" s="29">
        <v>0</v>
      </c>
      <c r="E23" s="28">
        <f t="shared" si="1"/>
        <v>169260</v>
      </c>
      <c r="F23" s="166"/>
    </row>
    <row r="24" spans="1:6" ht="16.5">
      <c r="A24" s="71" t="s">
        <v>216</v>
      </c>
      <c r="B24" s="28">
        <v>0</v>
      </c>
      <c r="C24" s="163">
        <v>114560</v>
      </c>
      <c r="D24" s="29">
        <v>0</v>
      </c>
      <c r="E24" s="28">
        <f t="shared" si="1"/>
        <v>114560</v>
      </c>
      <c r="F24" s="166"/>
    </row>
    <row r="25" spans="1:6" ht="16.5">
      <c r="A25" s="71" t="s">
        <v>217</v>
      </c>
      <c r="B25" s="33">
        <v>0</v>
      </c>
      <c r="C25" s="163">
        <v>171320</v>
      </c>
      <c r="D25" s="29">
        <v>0</v>
      </c>
      <c r="E25" s="28">
        <f t="shared" si="1"/>
        <v>171320</v>
      </c>
      <c r="F25" s="166"/>
    </row>
    <row r="26" spans="1:6" ht="18" customHeight="1" thickBot="1">
      <c r="A26" s="183" t="s">
        <v>82</v>
      </c>
      <c r="B26" s="36">
        <f>SUM(B8:B25)</f>
        <v>1336803.34</v>
      </c>
      <c r="C26" s="36">
        <f>SUM(C8:C25)</f>
        <v>1749880</v>
      </c>
      <c r="D26" s="36">
        <f>SUM(D8:D25)</f>
        <v>336803.34</v>
      </c>
      <c r="E26" s="167">
        <f>SUM(E8:E25)</f>
        <v>2749880</v>
      </c>
      <c r="F26" s="168"/>
    </row>
    <row r="27" ht="17.25" thickTop="1"/>
  </sheetData>
  <sheetProtection/>
  <mergeCells count="9">
    <mergeCell ref="A1:F1"/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IV31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18" t="s">
        <v>60</v>
      </c>
      <c r="B1" s="218"/>
      <c r="C1" s="218"/>
      <c r="D1" s="218"/>
      <c r="E1" s="218"/>
      <c r="F1" s="218"/>
    </row>
    <row r="2" spans="1:6" ht="18">
      <c r="A2" s="234" t="s">
        <v>113</v>
      </c>
      <c r="B2" s="234"/>
      <c r="C2" s="234"/>
      <c r="D2" s="234"/>
      <c r="E2" s="234"/>
      <c r="F2" s="234"/>
    </row>
    <row r="3" spans="1:6" ht="18">
      <c r="A3" s="13"/>
      <c r="B3" s="13"/>
      <c r="C3" s="13"/>
      <c r="D3" s="13"/>
      <c r="E3" s="13"/>
      <c r="F3" s="13"/>
    </row>
    <row r="4" spans="1:6" ht="18">
      <c r="A4" s="161" t="s">
        <v>236</v>
      </c>
      <c r="B4" s="13"/>
      <c r="C4" s="13"/>
      <c r="D4" s="13"/>
      <c r="E4" s="13"/>
      <c r="F4" s="13"/>
    </row>
    <row r="5" spans="1:6" ht="18">
      <c r="A5" s="218"/>
      <c r="B5" s="218"/>
      <c r="C5" s="218"/>
      <c r="D5" s="218"/>
      <c r="E5" s="218"/>
      <c r="F5" s="218"/>
    </row>
    <row r="6" spans="1:6" ht="18">
      <c r="A6" s="235" t="s">
        <v>40</v>
      </c>
      <c r="B6" s="237" t="s">
        <v>83</v>
      </c>
      <c r="C6" s="238"/>
      <c r="D6" s="235" t="s">
        <v>178</v>
      </c>
      <c r="E6" s="235" t="s">
        <v>3</v>
      </c>
      <c r="F6" s="235" t="s">
        <v>84</v>
      </c>
    </row>
    <row r="7" spans="1:6" ht="18">
      <c r="A7" s="236"/>
      <c r="B7" s="73" t="s">
        <v>179</v>
      </c>
      <c r="C7" s="73" t="s">
        <v>180</v>
      </c>
      <c r="D7" s="236"/>
      <c r="E7" s="236"/>
      <c r="F7" s="236"/>
    </row>
    <row r="8" spans="1:6" ht="18">
      <c r="A8" s="169" t="s">
        <v>185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70"/>
    </row>
    <row r="9" spans="1:6" ht="18">
      <c r="A9" s="169" t="s">
        <v>186</v>
      </c>
      <c r="B9" s="37">
        <v>20370</v>
      </c>
      <c r="C9" s="77">
        <v>0</v>
      </c>
      <c r="D9" s="37">
        <v>0</v>
      </c>
      <c r="E9" s="77">
        <f>SUM(B9:D9)</f>
        <v>20370</v>
      </c>
      <c r="F9" s="170"/>
    </row>
    <row r="10" spans="1:6" ht="18">
      <c r="A10" s="169" t="s">
        <v>187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70"/>
    </row>
    <row r="11" spans="1:6" ht="18">
      <c r="A11" s="169" t="s">
        <v>188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70"/>
    </row>
    <row r="12" spans="1:6" ht="18">
      <c r="A12" s="169" t="s">
        <v>189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70"/>
    </row>
    <row r="13" spans="1:6" ht="18">
      <c r="A13" s="169" t="s">
        <v>190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70"/>
    </row>
    <row r="14" spans="1:6" ht="18">
      <c r="A14" s="169" t="s">
        <v>191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70"/>
    </row>
    <row r="15" spans="1:6" ht="18">
      <c r="A15" s="169" t="s">
        <v>192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70"/>
    </row>
    <row r="16" spans="1:6" ht="18">
      <c r="A16" s="169" t="s">
        <v>193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70"/>
    </row>
    <row r="17" spans="1:6" ht="18">
      <c r="A17" s="171" t="s">
        <v>194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2"/>
    </row>
    <row r="18" spans="1:6" ht="18.75" thickBot="1">
      <c r="A18" s="173" t="s">
        <v>82</v>
      </c>
      <c r="B18" s="174">
        <f>SUM(B8:B17)</f>
        <v>867710</v>
      </c>
      <c r="C18" s="174">
        <f>SUM(C8:C17)</f>
        <v>0</v>
      </c>
      <c r="D18" s="174">
        <f>SUM(D8:D17)</f>
        <v>0</v>
      </c>
      <c r="E18" s="160">
        <f>SUM(E8:E17)</f>
        <v>867710</v>
      </c>
      <c r="F18" s="175"/>
    </row>
    <row r="19" spans="2:4" ht="18.75" thickTop="1">
      <c r="B19" s="159"/>
      <c r="C19" s="159"/>
      <c r="D19" s="159"/>
    </row>
    <row r="20" spans="2:4" ht="18">
      <c r="B20" s="159"/>
      <c r="C20" s="159"/>
      <c r="D20" s="159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84" sqref="C84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182"/>
      <c r="B1" s="182"/>
      <c r="C1" s="182"/>
      <c r="D1" s="182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162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218</v>
      </c>
      <c r="D5" s="44"/>
    </row>
    <row r="6" spans="1:4" ht="23.25">
      <c r="A6" s="42" t="s">
        <v>219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220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182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221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198</v>
      </c>
      <c r="C28" s="42" t="s">
        <v>100</v>
      </c>
      <c r="D28" s="43" t="s">
        <v>198</v>
      </c>
      <c r="E28" s="42"/>
    </row>
    <row r="29" spans="1:4" ht="23.25">
      <c r="A29" s="239" t="s">
        <v>222</v>
      </c>
      <c r="B29" s="240"/>
      <c r="C29" s="239" t="s">
        <v>223</v>
      </c>
      <c r="D29" s="240"/>
    </row>
    <row r="30" spans="1:4" ht="23.25">
      <c r="A30" s="182"/>
      <c r="B30" s="182"/>
      <c r="C30" s="182"/>
      <c r="D30" s="182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162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224</v>
      </c>
      <c r="D35" s="44"/>
    </row>
    <row r="36" spans="1:5" ht="23.25">
      <c r="A36" s="42" t="s">
        <v>219</v>
      </c>
      <c r="B36" s="43"/>
      <c r="C36" s="43"/>
      <c r="D36" s="48">
        <v>0</v>
      </c>
      <c r="E36" s="179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225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182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226</v>
      </c>
      <c r="B55" s="65"/>
      <c r="C55" s="43"/>
      <c r="D55" s="49">
        <f>SUM(D36-D51)</f>
        <v>0</v>
      </c>
      <c r="E55" s="157">
        <f>SUM(D36-D55)</f>
        <v>0</v>
      </c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198</v>
      </c>
      <c r="C58" s="42" t="s">
        <v>100</v>
      </c>
      <c r="D58" s="43" t="s">
        <v>198</v>
      </c>
      <c r="E58" s="43"/>
    </row>
    <row r="59" spans="1:5" ht="23.25">
      <c r="A59" s="239" t="s">
        <v>222</v>
      </c>
      <c r="B59" s="240"/>
      <c r="C59" s="239" t="s">
        <v>223</v>
      </c>
      <c r="D59" s="240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160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174</v>
      </c>
      <c r="D65" s="44"/>
    </row>
    <row r="66" spans="1:5" ht="23.25">
      <c r="A66" s="42" t="s">
        <v>219</v>
      </c>
      <c r="B66" s="43"/>
      <c r="C66" s="43"/>
      <c r="D66" s="48">
        <v>14733926.08</v>
      </c>
      <c r="E66" s="179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238</v>
      </c>
      <c r="B73" s="153" t="s">
        <v>239</v>
      </c>
      <c r="C73" s="56">
        <v>1000</v>
      </c>
      <c r="D73" s="89">
        <f>SUM(C73)</f>
        <v>1000</v>
      </c>
    </row>
    <row r="74" spans="1:4" ht="23.25">
      <c r="A74" s="151"/>
      <c r="B74" s="153"/>
      <c r="C74" s="59"/>
      <c r="D74" s="54">
        <f>SUM(C74)</f>
        <v>0</v>
      </c>
    </row>
    <row r="75" spans="1:4" ht="23.25">
      <c r="A75" s="151"/>
      <c r="B75" s="153"/>
      <c r="C75" s="59"/>
      <c r="D75" s="49">
        <f>SUM(C75)</f>
        <v>0</v>
      </c>
    </row>
    <row r="76" spans="1:4" ht="23.25">
      <c r="A76" s="57"/>
      <c r="B76" s="93"/>
      <c r="C76" s="59"/>
      <c r="D76" s="54"/>
    </row>
    <row r="77" spans="1:4" ht="23.25">
      <c r="A77" s="151"/>
      <c r="B77" s="92"/>
      <c r="C77" s="59"/>
      <c r="D77" s="54"/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220</v>
      </c>
      <c r="B81" s="43"/>
      <c r="C81" s="43"/>
      <c r="D81" s="49"/>
      <c r="E81" s="43"/>
    </row>
    <row r="82" spans="1:5" ht="23.25">
      <c r="A82" s="50" t="s">
        <v>93</v>
      </c>
      <c r="B82" s="51" t="s">
        <v>94</v>
      </c>
      <c r="C82" s="51" t="s">
        <v>83</v>
      </c>
      <c r="D82" s="49"/>
      <c r="E82" s="43"/>
    </row>
    <row r="83" spans="1:5" ht="23.25">
      <c r="A83" s="151"/>
      <c r="B83" s="153"/>
      <c r="C83" s="56"/>
      <c r="D83" s="89"/>
      <c r="E83" s="43"/>
    </row>
    <row r="84" spans="1:5" ht="23.25">
      <c r="A84" s="62"/>
      <c r="B84" s="93"/>
      <c r="C84" s="63"/>
      <c r="D84" s="54"/>
      <c r="E84" s="43"/>
    </row>
    <row r="85" spans="1:5" ht="23.25">
      <c r="A85" s="64" t="s">
        <v>227</v>
      </c>
      <c r="B85" s="65"/>
      <c r="C85" s="43"/>
      <c r="D85" s="49">
        <f>SUM(D66-D83-D73-D74-D75)</f>
        <v>14732926.08</v>
      </c>
      <c r="E85" s="157"/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198</v>
      </c>
      <c r="C88" s="42" t="s">
        <v>100</v>
      </c>
      <c r="D88" s="44" t="s">
        <v>198</v>
      </c>
      <c r="E88" s="43"/>
    </row>
    <row r="89" spans="1:5" ht="23.25">
      <c r="A89" s="239" t="s">
        <v>228</v>
      </c>
      <c r="B89" s="240"/>
      <c r="C89" s="241" t="s">
        <v>195</v>
      </c>
      <c r="D89" s="242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zoomScalePageLayoutView="0" workbookViewId="0" topLeftCell="A85">
      <selection activeCell="A89" sqref="A89:IV111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1.281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43" t="s">
        <v>8</v>
      </c>
      <c r="B1" s="243"/>
      <c r="C1" s="243"/>
      <c r="D1" s="243"/>
      <c r="E1" s="243"/>
    </row>
    <row r="2" spans="1:5" ht="18.75">
      <c r="A2" s="243" t="s">
        <v>9</v>
      </c>
      <c r="B2" s="243"/>
      <c r="C2" s="243"/>
      <c r="D2" s="243"/>
      <c r="E2" s="243"/>
    </row>
    <row r="3" spans="1:4" ht="18.75">
      <c r="A3" s="184"/>
      <c r="B3" s="184"/>
      <c r="C3" s="184"/>
      <c r="D3" s="185" t="s">
        <v>237</v>
      </c>
    </row>
    <row r="4" spans="1:5" ht="18.75">
      <c r="A4" s="244" t="s">
        <v>10</v>
      </c>
      <c r="B4" s="244"/>
      <c r="C4" s="244"/>
      <c r="D4" s="244"/>
      <c r="E4" s="244"/>
    </row>
    <row r="5" spans="1:5" ht="19.5" thickBot="1">
      <c r="A5" s="101"/>
      <c r="B5" s="101"/>
      <c r="C5" s="101"/>
      <c r="D5" s="178" t="s">
        <v>229</v>
      </c>
      <c r="E5" s="101"/>
    </row>
    <row r="6" spans="1:7" ht="19.5" thickTop="1">
      <c r="A6" s="245" t="s">
        <v>11</v>
      </c>
      <c r="B6" s="246"/>
      <c r="C6" s="102"/>
      <c r="D6" s="103"/>
      <c r="E6" s="104" t="s">
        <v>79</v>
      </c>
      <c r="G6" s="99" t="s">
        <v>171</v>
      </c>
    </row>
    <row r="7" spans="1:7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  <c r="G7" s="99" t="s">
        <v>170</v>
      </c>
    </row>
    <row r="8" spans="1:7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  <c r="G8" s="99" t="s">
        <v>12</v>
      </c>
    </row>
    <row r="9" spans="1:6" ht="19.5" thickTop="1">
      <c r="A9" s="102"/>
      <c r="B9" s="113">
        <v>30574547.38</v>
      </c>
      <c r="C9" s="114" t="s">
        <v>16</v>
      </c>
      <c r="D9" s="103"/>
      <c r="E9" s="115">
        <v>30574547.38</v>
      </c>
      <c r="F9" s="99" t="s">
        <v>172</v>
      </c>
    </row>
    <row r="10" spans="1:11" ht="18.75">
      <c r="A10" s="107"/>
      <c r="B10" s="113"/>
      <c r="C10" s="116" t="s">
        <v>167</v>
      </c>
      <c r="D10" s="108"/>
      <c r="E10" s="117"/>
      <c r="I10" s="95"/>
      <c r="J10" s="94" t="s">
        <v>106</v>
      </c>
      <c r="K10" s="94" t="s">
        <v>26</v>
      </c>
    </row>
    <row r="11" spans="1:12" ht="18.75">
      <c r="A11" s="113">
        <v>68400</v>
      </c>
      <c r="B11" s="117">
        <v>0</v>
      </c>
      <c r="C11" s="118" t="s">
        <v>17</v>
      </c>
      <c r="D11" s="108" t="s">
        <v>267</v>
      </c>
      <c r="E11" s="117">
        <v>0</v>
      </c>
      <c r="G11" s="119">
        <f>SUM(B11+E11)</f>
        <v>0</v>
      </c>
      <c r="I11" s="95" t="s">
        <v>107</v>
      </c>
      <c r="J11" s="96">
        <f>SUM(B11:B17)</f>
        <v>998702.27</v>
      </c>
      <c r="K11" s="96" t="e">
        <f>SUM(B49+B50+B51+B52+B53+B54+B55+B56+B57+B58+#REF!)</f>
        <v>#REF!</v>
      </c>
      <c r="L11" s="119" t="e">
        <f>SUM(J11-K11)</f>
        <v>#REF!</v>
      </c>
    </row>
    <row r="12" spans="1:12" ht="18.75">
      <c r="A12" s="113">
        <v>7400</v>
      </c>
      <c r="B12" s="117">
        <v>0</v>
      </c>
      <c r="C12" s="118" t="s">
        <v>18</v>
      </c>
      <c r="D12" s="108" t="s">
        <v>268</v>
      </c>
      <c r="E12" s="117">
        <v>0</v>
      </c>
      <c r="G12" s="119">
        <f aca="true" t="shared" si="0" ref="G12:G26">SUM(B12+E12)</f>
        <v>0</v>
      </c>
      <c r="I12" s="95" t="s">
        <v>24</v>
      </c>
      <c r="J12" s="96">
        <f>SUM(B18)</f>
        <v>0</v>
      </c>
      <c r="K12" s="96" t="e">
        <f>SUM(#REF!+#REF!+#REF!+#REF!+#REF!+#REF!+#REF!)</f>
        <v>#REF!</v>
      </c>
      <c r="L12" s="119" t="e">
        <f>SUM(J12-K12)</f>
        <v>#REF!</v>
      </c>
    </row>
    <row r="13" spans="1:11" ht="18.75">
      <c r="A13" s="113">
        <v>282500</v>
      </c>
      <c r="B13" s="117">
        <v>0</v>
      </c>
      <c r="C13" s="118" t="s">
        <v>19</v>
      </c>
      <c r="D13" s="108" t="s">
        <v>269</v>
      </c>
      <c r="E13" s="117">
        <v>0</v>
      </c>
      <c r="G13" s="119">
        <f>SUM(B13+E13)</f>
        <v>0</v>
      </c>
      <c r="J13" s="119">
        <f>SUM(J11:J12)</f>
        <v>998702.27</v>
      </c>
      <c r="K13" s="119" t="e">
        <f>SUM(K11:K12)</f>
        <v>#REF!</v>
      </c>
    </row>
    <row r="14" spans="1:10" ht="18.75">
      <c r="A14" s="113">
        <v>0</v>
      </c>
      <c r="B14" s="117">
        <v>0</v>
      </c>
      <c r="C14" s="118" t="s">
        <v>20</v>
      </c>
      <c r="D14" s="108" t="s">
        <v>270</v>
      </c>
      <c r="E14" s="117">
        <v>0</v>
      </c>
      <c r="G14" s="119">
        <f t="shared" si="0"/>
        <v>0</v>
      </c>
      <c r="I14" s="95" t="s">
        <v>111</v>
      </c>
      <c r="J14" s="96">
        <v>688200</v>
      </c>
    </row>
    <row r="15" spans="1:10" ht="18.75">
      <c r="A15" s="113">
        <v>75500</v>
      </c>
      <c r="B15" s="117">
        <v>0</v>
      </c>
      <c r="C15" s="118" t="s">
        <v>21</v>
      </c>
      <c r="D15" s="108" t="s">
        <v>271</v>
      </c>
      <c r="E15" s="117">
        <v>0</v>
      </c>
      <c r="G15" s="119">
        <f t="shared" si="0"/>
        <v>0</v>
      </c>
      <c r="J15" s="119">
        <f>SUM(J13:J14)</f>
        <v>1686902.27</v>
      </c>
    </row>
    <row r="16" spans="1:7" ht="18.75">
      <c r="A16" s="113">
        <v>0</v>
      </c>
      <c r="B16" s="117">
        <v>0</v>
      </c>
      <c r="C16" s="118" t="s">
        <v>22</v>
      </c>
      <c r="D16" s="108" t="s">
        <v>272</v>
      </c>
      <c r="E16" s="117">
        <v>0</v>
      </c>
      <c r="G16" s="119">
        <f t="shared" si="0"/>
        <v>0</v>
      </c>
    </row>
    <row r="17" spans="1:7" ht="18.75">
      <c r="A17" s="113">
        <v>11570350</v>
      </c>
      <c r="B17" s="117">
        <v>998702.27</v>
      </c>
      <c r="C17" s="118" t="s">
        <v>23</v>
      </c>
      <c r="D17" s="108" t="s">
        <v>273</v>
      </c>
      <c r="E17" s="117">
        <v>998702.27</v>
      </c>
      <c r="F17" s="119"/>
      <c r="G17" s="119">
        <f>SUM(B17+E17)</f>
        <v>1997404.54</v>
      </c>
    </row>
    <row r="18" spans="1:7" ht="18.75">
      <c r="A18" s="120">
        <v>7629700</v>
      </c>
      <c r="B18" s="121">
        <v>0</v>
      </c>
      <c r="C18" s="118" t="s">
        <v>24</v>
      </c>
      <c r="D18" s="108" t="s">
        <v>274</v>
      </c>
      <c r="E18" s="121">
        <v>0</v>
      </c>
      <c r="G18" s="119">
        <f t="shared" si="0"/>
        <v>0</v>
      </c>
    </row>
    <row r="19" spans="1:8" ht="19.5" thickBot="1">
      <c r="A19" s="122">
        <f>SUM(A11:A18)</f>
        <v>19633850</v>
      </c>
      <c r="B19" s="123">
        <f>SUM(B11:B18)</f>
        <v>998702.27</v>
      </c>
      <c r="D19" s="108"/>
      <c r="E19" s="123">
        <f>SUM(E11+E12+E13+E14+E15+E16+E17+E18)</f>
        <v>998702.27</v>
      </c>
      <c r="F19" s="119">
        <f>SUM(E19+E26)</f>
        <v>998702.27</v>
      </c>
      <c r="G19" s="119">
        <f t="shared" si="0"/>
        <v>1997404.54</v>
      </c>
      <c r="H19" s="119"/>
    </row>
    <row r="20" spans="1:7" ht="19.5" thickTop="1">
      <c r="A20" s="124"/>
      <c r="B20" s="125">
        <v>2571.79</v>
      </c>
      <c r="C20" s="118" t="s">
        <v>158</v>
      </c>
      <c r="D20" s="108" t="s">
        <v>275</v>
      </c>
      <c r="E20" s="115">
        <v>2571.79</v>
      </c>
      <c r="G20" s="119">
        <f t="shared" si="0"/>
        <v>5143.58</v>
      </c>
    </row>
    <row r="21" spans="1:7" ht="18.75">
      <c r="A21" s="124"/>
      <c r="B21" s="113">
        <v>0</v>
      </c>
      <c r="C21" s="118" t="s">
        <v>163</v>
      </c>
      <c r="D21" s="108" t="s">
        <v>281</v>
      </c>
      <c r="E21" s="117">
        <v>0</v>
      </c>
      <c r="G21" s="119">
        <f>SUM(B21+E21)</f>
        <v>0</v>
      </c>
    </row>
    <row r="22" spans="1:7" ht="18.75">
      <c r="A22" s="124"/>
      <c r="B22" s="113">
        <v>187600</v>
      </c>
      <c r="C22" s="126" t="s">
        <v>5</v>
      </c>
      <c r="D22" s="108" t="s">
        <v>276</v>
      </c>
      <c r="E22" s="117">
        <v>187600</v>
      </c>
      <c r="G22" s="119">
        <f t="shared" si="0"/>
        <v>375200</v>
      </c>
    </row>
    <row r="23" spans="1:7" ht="18.75">
      <c r="A23" s="124"/>
      <c r="B23" s="113">
        <v>0</v>
      </c>
      <c r="C23" s="118" t="s">
        <v>4</v>
      </c>
      <c r="D23" s="108" t="s">
        <v>277</v>
      </c>
      <c r="E23" s="117">
        <v>0</v>
      </c>
      <c r="F23" s="119"/>
      <c r="G23" s="119">
        <f t="shared" si="0"/>
        <v>0</v>
      </c>
    </row>
    <row r="24" spans="1:7" ht="18.75">
      <c r="A24" s="124"/>
      <c r="B24" s="117">
        <v>0</v>
      </c>
      <c r="C24" s="127" t="s">
        <v>103</v>
      </c>
      <c r="D24" s="108" t="s">
        <v>278</v>
      </c>
      <c r="E24" s="117">
        <v>0</v>
      </c>
      <c r="G24" s="119">
        <f t="shared" si="0"/>
        <v>0</v>
      </c>
    </row>
    <row r="25" spans="1:7" ht="18.75">
      <c r="A25" s="124"/>
      <c r="B25" s="117">
        <v>0</v>
      </c>
      <c r="C25" s="124" t="s">
        <v>164</v>
      </c>
      <c r="D25" s="108" t="s">
        <v>279</v>
      </c>
      <c r="E25" s="117">
        <v>0</v>
      </c>
      <c r="G25" s="119">
        <f t="shared" si="0"/>
        <v>0</v>
      </c>
    </row>
    <row r="26" spans="1:7" ht="18.75">
      <c r="A26" s="124"/>
      <c r="B26" s="113">
        <v>0</v>
      </c>
      <c r="C26" s="118" t="s">
        <v>110</v>
      </c>
      <c r="D26" s="108" t="s">
        <v>280</v>
      </c>
      <c r="E26" s="117">
        <v>0</v>
      </c>
      <c r="G26" s="119">
        <f t="shared" si="0"/>
        <v>0</v>
      </c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190171.79</v>
      </c>
      <c r="D37" s="108"/>
      <c r="E37" s="97">
        <f>SUM(E20:E36)</f>
        <v>190171.79</v>
      </c>
    </row>
    <row r="38" spans="1:5" ht="18.75">
      <c r="A38" s="124"/>
      <c r="B38" s="128">
        <f>SUM(B37+B19)</f>
        <v>1188874.06</v>
      </c>
      <c r="C38" s="107" t="s">
        <v>25</v>
      </c>
      <c r="D38" s="129"/>
      <c r="E38" s="130">
        <f>SUM(E37+E19)</f>
        <v>1188874.06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47" t="s">
        <v>11</v>
      </c>
      <c r="B45" s="248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582690</v>
      </c>
      <c r="B49" s="117">
        <v>4500</v>
      </c>
      <c r="C49" s="127" t="s">
        <v>27</v>
      </c>
      <c r="D49" s="108" t="s">
        <v>282</v>
      </c>
      <c r="E49" s="117">
        <v>4500</v>
      </c>
      <c r="F49" s="119"/>
      <c r="G49" s="119"/>
      <c r="H49" s="119"/>
      <c r="I49" s="119"/>
    </row>
    <row r="50" spans="1:8" ht="18.75">
      <c r="A50" s="113">
        <v>7037700</v>
      </c>
      <c r="B50" s="117">
        <v>411183.35</v>
      </c>
      <c r="C50" s="127" t="s">
        <v>28</v>
      </c>
      <c r="D50" s="108" t="s">
        <v>283</v>
      </c>
      <c r="E50" s="117">
        <v>411183.35</v>
      </c>
      <c r="F50" s="119"/>
      <c r="G50" s="119"/>
      <c r="H50" s="119"/>
    </row>
    <row r="51" spans="1:7" ht="18.75">
      <c r="A51" s="113">
        <v>1350260</v>
      </c>
      <c r="B51" s="117">
        <v>24151</v>
      </c>
      <c r="C51" s="127" t="s">
        <v>102</v>
      </c>
      <c r="D51" s="108" t="s">
        <v>284</v>
      </c>
      <c r="E51" s="117">
        <v>24151</v>
      </c>
      <c r="F51" s="119"/>
      <c r="G51" s="119"/>
    </row>
    <row r="52" spans="1:8" ht="18.75">
      <c r="A52" s="113">
        <v>4124200</v>
      </c>
      <c r="B52" s="117">
        <v>259545</v>
      </c>
      <c r="C52" s="127" t="s">
        <v>29</v>
      </c>
      <c r="D52" s="108" t="s">
        <v>285</v>
      </c>
      <c r="E52" s="117">
        <f>SUM(79295+180250)</f>
        <v>259545</v>
      </c>
      <c r="F52" s="119"/>
      <c r="G52" s="119"/>
      <c r="H52" s="119"/>
    </row>
    <row r="53" spans="1:8" ht="18.75">
      <c r="A53" s="113">
        <v>1916600</v>
      </c>
      <c r="B53" s="117">
        <v>0</v>
      </c>
      <c r="C53" s="127" t="s">
        <v>30</v>
      </c>
      <c r="D53" s="108" t="s">
        <v>286</v>
      </c>
      <c r="E53" s="117">
        <v>0</v>
      </c>
      <c r="G53" s="119"/>
      <c r="H53" s="119"/>
    </row>
    <row r="54" spans="1:8" ht="18.75">
      <c r="A54" s="113">
        <v>256300</v>
      </c>
      <c r="B54" s="117">
        <v>0</v>
      </c>
      <c r="C54" s="127" t="s">
        <v>31</v>
      </c>
      <c r="D54" s="108" t="s">
        <v>287</v>
      </c>
      <c r="E54" s="117">
        <v>0</v>
      </c>
      <c r="G54" s="119"/>
      <c r="H54" s="119"/>
    </row>
    <row r="55" spans="1:7" ht="18.75">
      <c r="A55" s="113">
        <v>898050</v>
      </c>
      <c r="B55" s="117">
        <v>0</v>
      </c>
      <c r="C55" s="127" t="s">
        <v>32</v>
      </c>
      <c r="D55" s="108" t="s">
        <v>288</v>
      </c>
      <c r="E55" s="117">
        <v>0</v>
      </c>
      <c r="G55" s="119"/>
    </row>
    <row r="56" spans="1:7" ht="18.75">
      <c r="A56" s="113">
        <v>534050</v>
      </c>
      <c r="B56" s="117">
        <v>0</v>
      </c>
      <c r="C56" s="127" t="s">
        <v>33</v>
      </c>
      <c r="D56" s="108" t="s">
        <v>289</v>
      </c>
      <c r="E56" s="117">
        <v>0</v>
      </c>
      <c r="G56" s="119"/>
    </row>
    <row r="57" spans="1:7" ht="18.75">
      <c r="A57" s="113">
        <v>12000</v>
      </c>
      <c r="B57" s="117">
        <v>0</v>
      </c>
      <c r="C57" s="127" t="s">
        <v>7</v>
      </c>
      <c r="D57" s="108" t="s">
        <v>299</v>
      </c>
      <c r="E57" s="117">
        <v>0</v>
      </c>
      <c r="F57" s="119"/>
      <c r="G57" s="119"/>
    </row>
    <row r="58" spans="1:7" ht="18.75">
      <c r="A58" s="113">
        <v>2922000</v>
      </c>
      <c r="B58" s="117">
        <v>0</v>
      </c>
      <c r="C58" s="127" t="s">
        <v>24</v>
      </c>
      <c r="D58" s="108" t="s">
        <v>290</v>
      </c>
      <c r="E58" s="117">
        <v>0</v>
      </c>
      <c r="G58" s="119"/>
    </row>
    <row r="59" spans="1:8" ht="19.5" thickBot="1">
      <c r="A59" s="122">
        <f>SUM(A49:A58)</f>
        <v>19633850</v>
      </c>
      <c r="B59" s="123">
        <f>SUM(B49:B58)</f>
        <v>699379.35</v>
      </c>
      <c r="D59" s="108"/>
      <c r="E59" s="123">
        <f>SUM(E49:E58)</f>
        <v>699379.35</v>
      </c>
      <c r="F59" s="119"/>
      <c r="G59" s="119"/>
      <c r="H59" s="119"/>
    </row>
    <row r="60" spans="1:7" ht="19.5" thickTop="1">
      <c r="A60" s="156"/>
      <c r="B60" s="115">
        <v>336803.34</v>
      </c>
      <c r="C60" s="127" t="s">
        <v>34</v>
      </c>
      <c r="D60" s="108" t="s">
        <v>291</v>
      </c>
      <c r="E60" s="115">
        <v>336803.34</v>
      </c>
      <c r="G60" s="119"/>
    </row>
    <row r="61" spans="1:7" ht="18.75">
      <c r="A61" s="140"/>
      <c r="B61" s="117">
        <v>7350</v>
      </c>
      <c r="C61" s="127" t="s">
        <v>156</v>
      </c>
      <c r="D61" s="108" t="s">
        <v>292</v>
      </c>
      <c r="E61" s="117">
        <v>7350</v>
      </c>
      <c r="F61" s="119"/>
      <c r="G61" s="119"/>
    </row>
    <row r="62" spans="1:7" ht="18.75">
      <c r="A62" s="124"/>
      <c r="B62" s="117">
        <v>0</v>
      </c>
      <c r="C62" s="127" t="s">
        <v>101</v>
      </c>
      <c r="D62" s="108" t="s">
        <v>293</v>
      </c>
      <c r="E62" s="117">
        <v>0</v>
      </c>
      <c r="G62" s="119"/>
    </row>
    <row r="63" spans="1:10" ht="18.75">
      <c r="A63" s="124"/>
      <c r="B63" s="117">
        <v>1371.82</v>
      </c>
      <c r="C63" s="127" t="s">
        <v>158</v>
      </c>
      <c r="D63" s="108" t="s">
        <v>275</v>
      </c>
      <c r="E63" s="117">
        <v>1371.82</v>
      </c>
      <c r="G63" s="119"/>
      <c r="J63" s="119"/>
    </row>
    <row r="64" spans="1:7" ht="18.75">
      <c r="A64" s="124"/>
      <c r="B64" s="117">
        <v>180250</v>
      </c>
      <c r="C64" s="124" t="s">
        <v>5</v>
      </c>
      <c r="D64" s="108" t="s">
        <v>276</v>
      </c>
      <c r="E64" s="139">
        <v>180250</v>
      </c>
      <c r="G64" s="119"/>
    </row>
    <row r="65" spans="1:7" ht="18.75">
      <c r="A65" s="140"/>
      <c r="B65" s="117">
        <v>199000</v>
      </c>
      <c r="C65" s="124" t="s">
        <v>103</v>
      </c>
      <c r="D65" s="108" t="s">
        <v>278</v>
      </c>
      <c r="E65" s="139">
        <v>199000</v>
      </c>
      <c r="G65" s="119"/>
    </row>
    <row r="66" spans="1:7" ht="18.75">
      <c r="A66" s="124"/>
      <c r="B66" s="117">
        <v>506600</v>
      </c>
      <c r="C66" s="124" t="s">
        <v>159</v>
      </c>
      <c r="D66" s="108" t="s">
        <v>277</v>
      </c>
      <c r="E66" s="139">
        <v>506600</v>
      </c>
      <c r="G66" s="119"/>
    </row>
    <row r="67" spans="1:7" ht="18.75">
      <c r="A67" s="124"/>
      <c r="B67" s="117">
        <v>0</v>
      </c>
      <c r="C67" s="118" t="s">
        <v>165</v>
      </c>
      <c r="D67" s="108" t="s">
        <v>294</v>
      </c>
      <c r="E67" s="139">
        <v>0</v>
      </c>
      <c r="G67" s="119"/>
    </row>
    <row r="68" spans="1:7" ht="18.75">
      <c r="A68" s="124"/>
      <c r="B68" s="117">
        <v>0</v>
      </c>
      <c r="C68" s="118" t="s">
        <v>230</v>
      </c>
      <c r="D68" s="108" t="s">
        <v>295</v>
      </c>
      <c r="E68" s="139">
        <v>0</v>
      </c>
      <c r="G68" s="119"/>
    </row>
    <row r="69" spans="1:7" ht="18.75">
      <c r="A69" s="124"/>
      <c r="B69" s="117">
        <v>0</v>
      </c>
      <c r="C69" s="118" t="s">
        <v>231</v>
      </c>
      <c r="D69" s="108" t="s">
        <v>296</v>
      </c>
      <c r="E69" s="139">
        <v>0</v>
      </c>
      <c r="G69" s="119"/>
    </row>
    <row r="70" spans="1:7" ht="18.75">
      <c r="A70" s="124"/>
      <c r="B70" s="117">
        <v>0</v>
      </c>
      <c r="C70" s="118" t="s">
        <v>232</v>
      </c>
      <c r="D70" s="108" t="s">
        <v>297</v>
      </c>
      <c r="E70" s="139">
        <v>0</v>
      </c>
      <c r="G70" s="119"/>
    </row>
    <row r="71" spans="1:7" ht="18.75">
      <c r="A71" s="124"/>
      <c r="B71" s="117">
        <v>0</v>
      </c>
      <c r="C71" s="118" t="s">
        <v>233</v>
      </c>
      <c r="D71" s="108" t="s">
        <v>298</v>
      </c>
      <c r="E71" s="139">
        <v>0</v>
      </c>
      <c r="G71" s="119"/>
    </row>
    <row r="72" spans="1:10" ht="18.75">
      <c r="A72" s="124"/>
      <c r="B72" s="117">
        <v>0</v>
      </c>
      <c r="C72" s="124" t="s">
        <v>163</v>
      </c>
      <c r="D72" s="108" t="s">
        <v>281</v>
      </c>
      <c r="E72" s="139">
        <v>0</v>
      </c>
      <c r="G72" s="119"/>
      <c r="J72" s="119"/>
    </row>
    <row r="73" spans="1:10" ht="18.75">
      <c r="A73" s="124"/>
      <c r="B73" s="117"/>
      <c r="C73" s="124"/>
      <c r="D73" s="108"/>
      <c r="E73" s="139"/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1" ht="18.75">
      <c r="A79" s="124"/>
      <c r="B79" s="97">
        <f>SUM(B60:B72)</f>
        <v>1231375.1600000001</v>
      </c>
      <c r="C79" s="124"/>
      <c r="D79" s="108"/>
      <c r="E79" s="97">
        <f>SUM(E60:E72)</f>
        <v>1231375.1600000001</v>
      </c>
      <c r="H79" s="119"/>
      <c r="J79" s="119"/>
      <c r="K79" s="119"/>
    </row>
    <row r="80" spans="1:11" ht="18.75">
      <c r="A80" s="124"/>
      <c r="B80" s="97">
        <f>SUM(B79+B59)</f>
        <v>1930754.5100000002</v>
      </c>
      <c r="C80" s="132" t="s">
        <v>35</v>
      </c>
      <c r="D80" s="108"/>
      <c r="E80" s="142">
        <f>SUM(E59+E79)</f>
        <v>1930754.5100000002</v>
      </c>
      <c r="J80" s="119"/>
      <c r="K80" s="119"/>
    </row>
    <row r="81" spans="1:11" ht="18.75">
      <c r="A81" s="124"/>
      <c r="B81" s="117"/>
      <c r="C81" s="132" t="s">
        <v>36</v>
      </c>
      <c r="D81" s="108"/>
      <c r="E81" s="139"/>
      <c r="J81" s="119"/>
      <c r="K81" s="119"/>
    </row>
    <row r="82" spans="1:5" ht="18.75">
      <c r="A82" s="124"/>
      <c r="B82" s="117">
        <f>SUM(B38-B80)</f>
        <v>-741880.4500000002</v>
      </c>
      <c r="C82" s="132" t="s">
        <v>37</v>
      </c>
      <c r="D82" s="108"/>
      <c r="E82" s="139">
        <f>SUM(E38-E80)</f>
        <v>-741880.4500000002</v>
      </c>
    </row>
    <row r="83" spans="1:10" ht="18.75">
      <c r="A83" s="124"/>
      <c r="B83" s="117"/>
      <c r="C83" s="132" t="s">
        <v>38</v>
      </c>
      <c r="D83" s="108"/>
      <c r="E83" s="141"/>
      <c r="J83" s="119"/>
    </row>
    <row r="84" spans="2:11" ht="19.5" thickBot="1">
      <c r="B84" s="123">
        <f>SUM(B9+B82)</f>
        <v>29832666.93</v>
      </c>
      <c r="C84" s="132" t="s">
        <v>39</v>
      </c>
      <c r="D84" s="108"/>
      <c r="E84" s="143">
        <f>SUM(E9+E82)</f>
        <v>29832666.93</v>
      </c>
      <c r="F84" s="119"/>
      <c r="G84" s="119"/>
      <c r="J84" s="119"/>
      <c r="K84" s="100"/>
    </row>
    <row r="85" spans="2:11" ht="19.5" thickTop="1">
      <c r="B85" s="144"/>
      <c r="C85" s="132"/>
      <c r="E85" s="144"/>
      <c r="F85" s="187"/>
      <c r="G85" s="119"/>
      <c r="J85" s="119"/>
      <c r="K85" s="100"/>
    </row>
    <row r="86" spans="2:11" ht="18.75">
      <c r="B86" s="144"/>
      <c r="C86" s="132"/>
      <c r="E86" s="144"/>
      <c r="F86" s="119"/>
      <c r="G86" s="119"/>
      <c r="K86" s="119"/>
    </row>
    <row r="87" spans="2:11" ht="18.75">
      <c r="B87" s="144"/>
      <c r="C87" s="132"/>
      <c r="E87" s="144"/>
      <c r="G87" s="119"/>
      <c r="K87" s="146"/>
    </row>
    <row r="88" spans="1:6" ht="18.75">
      <c r="A88" s="94"/>
      <c r="B88" s="94"/>
      <c r="C88" s="94"/>
      <c r="D88" s="94"/>
      <c r="E88" s="96"/>
      <c r="F88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A73">
      <selection activeCell="A92" sqref="A92:IV95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6.710937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4" t="s">
        <v>114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ht="16.5">
      <c r="A2" s="234" t="s">
        <v>157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16.5">
      <c r="A3" s="249" t="s">
        <v>234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ht="16.5">
      <c r="A4" s="80" t="s">
        <v>115</v>
      </c>
      <c r="B4" s="250" t="s">
        <v>116</v>
      </c>
      <c r="C4" s="251"/>
      <c r="D4" s="250" t="s">
        <v>117</v>
      </c>
      <c r="E4" s="251"/>
      <c r="F4" s="250" t="s">
        <v>118</v>
      </c>
      <c r="G4" s="251"/>
      <c r="H4" s="81" t="s">
        <v>119</v>
      </c>
      <c r="I4" s="10" t="s">
        <v>120</v>
      </c>
      <c r="J4" s="250" t="s">
        <v>121</v>
      </c>
      <c r="K4" s="251"/>
      <c r="L4" s="250" t="s">
        <v>122</v>
      </c>
      <c r="M4" s="251"/>
      <c r="N4" s="250" t="s">
        <v>123</v>
      </c>
      <c r="O4" s="251"/>
      <c r="P4" s="191" t="s">
        <v>146</v>
      </c>
      <c r="Q4" s="250" t="s">
        <v>124</v>
      </c>
      <c r="R4" s="251"/>
      <c r="S4" s="10" t="s">
        <v>125</v>
      </c>
      <c r="T4" s="230" t="s">
        <v>126</v>
      </c>
    </row>
    <row r="5" spans="1:20" ht="16.5">
      <c r="A5" s="194" t="s">
        <v>40</v>
      </c>
      <c r="B5" s="10" t="s">
        <v>127</v>
      </c>
      <c r="C5" s="10" t="s">
        <v>128</v>
      </c>
      <c r="D5" s="10" t="s">
        <v>129</v>
      </c>
      <c r="E5" s="10" t="s">
        <v>130</v>
      </c>
      <c r="F5" s="10" t="s">
        <v>131</v>
      </c>
      <c r="G5" s="10" t="s">
        <v>132</v>
      </c>
      <c r="H5" s="10" t="s">
        <v>133</v>
      </c>
      <c r="I5" s="10" t="s">
        <v>134</v>
      </c>
      <c r="J5" s="10" t="s">
        <v>135</v>
      </c>
      <c r="K5" s="10" t="s">
        <v>136</v>
      </c>
      <c r="L5" s="10" t="s">
        <v>175</v>
      </c>
      <c r="M5" s="10" t="s">
        <v>137</v>
      </c>
      <c r="N5" s="10" t="s">
        <v>138</v>
      </c>
      <c r="O5" s="10" t="s">
        <v>139</v>
      </c>
      <c r="P5" s="10" t="s">
        <v>140</v>
      </c>
      <c r="Q5" s="10" t="s">
        <v>141</v>
      </c>
      <c r="R5" s="10" t="s">
        <v>142</v>
      </c>
      <c r="S5" s="10" t="s">
        <v>143</v>
      </c>
      <c r="T5" s="231"/>
    </row>
    <row r="6" spans="1:22" s="84" customFormat="1" ht="14.25">
      <c r="A6" s="195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f aca="true" t="shared" si="0" ref="T7:T13">SUM(B7:S7)</f>
        <v>0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0</v>
      </c>
      <c r="T10" s="83">
        <f t="shared" si="0"/>
        <v>0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f t="shared" si="0"/>
        <v>0</v>
      </c>
      <c r="U11" s="90"/>
      <c r="V11" s="90"/>
    </row>
    <row r="12" spans="1:22" s="84" customFormat="1" ht="14.25">
      <c r="A12" s="85" t="s">
        <v>144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4500</v>
      </c>
      <c r="T12" s="83">
        <f t="shared" si="0"/>
        <v>4500</v>
      </c>
      <c r="U12" s="90"/>
      <c r="V12" s="90"/>
    </row>
    <row r="13" spans="1:22" s="84" customFormat="1" ht="14.25">
      <c r="A13" s="85" t="s">
        <v>145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SUM(4500)</f>
        <v>4500</v>
      </c>
      <c r="T13" s="83">
        <f t="shared" si="0"/>
        <v>4500</v>
      </c>
      <c r="U13" s="90"/>
      <c r="V13" s="90"/>
    </row>
    <row r="14" spans="1:22" s="84" customFormat="1" ht="14.25">
      <c r="A14" s="195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/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0</v>
      </c>
      <c r="U15" s="90"/>
      <c r="V15" s="90"/>
    </row>
    <row r="16" spans="1:22" s="84" customFormat="1" ht="14.25">
      <c r="A16" s="82">
        <v>210200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0</v>
      </c>
      <c r="U16" s="90"/>
      <c r="V16" s="90"/>
    </row>
    <row r="17" spans="1:22" s="84" customFormat="1" ht="14.25">
      <c r="A17" s="82">
        <v>210300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0</v>
      </c>
      <c r="U17" s="90"/>
      <c r="V17" s="90"/>
    </row>
    <row r="18" spans="1:22" s="84" customFormat="1" ht="14.25">
      <c r="A18" s="82">
        <v>210400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144</v>
      </c>
      <c r="B20" s="83">
        <f aca="true" t="shared" si="4" ref="B20:S20">SUM(B15:B19)</f>
        <v>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0</v>
      </c>
      <c r="U20" s="90"/>
      <c r="V20" s="90"/>
    </row>
    <row r="21" spans="1:22" s="84" customFormat="1" ht="14.25">
      <c r="A21" s="85" t="s">
        <v>145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0</v>
      </c>
      <c r="U21" s="90"/>
      <c r="V21" s="90"/>
    </row>
    <row r="22" spans="1:22" s="84" customFormat="1" ht="14.25">
      <c r="A22" s="195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84400</v>
      </c>
      <c r="C23" s="83">
        <v>44000</v>
      </c>
      <c r="D23" s="83">
        <v>0</v>
      </c>
      <c r="E23" s="83">
        <v>0</v>
      </c>
      <c r="F23" s="83">
        <v>24360</v>
      </c>
      <c r="G23" s="83">
        <v>0</v>
      </c>
      <c r="H23" s="83">
        <v>0</v>
      </c>
      <c r="I23" s="83">
        <v>0</v>
      </c>
      <c r="J23" s="83">
        <v>32360</v>
      </c>
      <c r="K23" s="83">
        <v>0</v>
      </c>
      <c r="L23" s="83">
        <v>12240</v>
      </c>
      <c r="M23" s="83">
        <v>0</v>
      </c>
      <c r="N23" s="83">
        <v>0</v>
      </c>
      <c r="O23" s="83">
        <v>0</v>
      </c>
      <c r="P23" s="83">
        <v>0</v>
      </c>
      <c r="Q23" s="83">
        <v>14660</v>
      </c>
      <c r="R23" s="83">
        <v>0</v>
      </c>
      <c r="S23" s="83">
        <v>0</v>
      </c>
      <c r="T23" s="83">
        <f>SUM(B23:S23)</f>
        <v>212020</v>
      </c>
      <c r="U23" s="90"/>
      <c r="V23" s="90"/>
    </row>
    <row r="24" spans="1:22" s="84" customFormat="1" ht="14.25">
      <c r="A24" s="82">
        <v>220200</v>
      </c>
      <c r="B24" s="83">
        <f>SUM(5600+5680+5580)</f>
        <v>16860</v>
      </c>
      <c r="C24" s="83">
        <f>SUM(630+4500)</f>
        <v>5130</v>
      </c>
      <c r="D24" s="83">
        <v>0</v>
      </c>
      <c r="E24" s="83">
        <v>0</v>
      </c>
      <c r="F24" s="83">
        <f>SUM(2110+4560)</f>
        <v>6670</v>
      </c>
      <c r="G24" s="83">
        <v>0</v>
      </c>
      <c r="H24" s="83">
        <v>0</v>
      </c>
      <c r="I24" s="83">
        <v>0</v>
      </c>
      <c r="J24" s="83">
        <f>SUM(160+1500)</f>
        <v>1660</v>
      </c>
      <c r="K24" s="83">
        <v>0</v>
      </c>
      <c r="L24" s="83">
        <f>SUM(2340+760)</f>
        <v>3100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33420</v>
      </c>
      <c r="U24" s="90"/>
      <c r="V24" s="90"/>
    </row>
    <row r="25" spans="1:22" s="84" customFormat="1" ht="14.25">
      <c r="A25" s="82">
        <v>220300</v>
      </c>
      <c r="B25" s="83">
        <v>28116.67</v>
      </c>
      <c r="C25" s="83">
        <v>22516.67</v>
      </c>
      <c r="D25" s="83">
        <v>0</v>
      </c>
      <c r="E25" s="83">
        <v>0</v>
      </c>
      <c r="F25" s="83">
        <v>22516.67</v>
      </c>
      <c r="G25" s="83">
        <v>0</v>
      </c>
      <c r="H25" s="83">
        <v>0</v>
      </c>
      <c r="I25" s="83">
        <v>0</v>
      </c>
      <c r="J25" s="83">
        <v>22516.67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22516.67</v>
      </c>
      <c r="R25" s="83">
        <v>0</v>
      </c>
      <c r="S25" s="83">
        <v>0</v>
      </c>
      <c r="T25" s="83">
        <f t="shared" si="5"/>
        <v>118183.34999999999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11400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11400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3600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3600</v>
      </c>
      <c r="U27" s="90"/>
      <c r="V27" s="90"/>
    </row>
    <row r="28" spans="1:22" s="84" customFormat="1" ht="14.25">
      <c r="A28" s="82">
        <v>220600</v>
      </c>
      <c r="B28" s="83">
        <v>6270</v>
      </c>
      <c r="C28" s="83">
        <v>6530</v>
      </c>
      <c r="D28" s="83">
        <v>0</v>
      </c>
      <c r="E28" s="83">
        <v>0</v>
      </c>
      <c r="F28" s="83">
        <v>140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6530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19470</v>
      </c>
      <c r="U28" s="90"/>
      <c r="V28" s="90"/>
    </row>
    <row r="29" spans="1:22" s="84" customFormat="1" ht="14.25">
      <c r="A29" s="82">
        <v>220700</v>
      </c>
      <c r="B29" s="83">
        <v>2730</v>
      </c>
      <c r="C29" s="83">
        <v>2470</v>
      </c>
      <c r="D29" s="83">
        <v>0</v>
      </c>
      <c r="E29" s="83">
        <v>0</v>
      </c>
      <c r="F29" s="83">
        <v>5420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2470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13090</v>
      </c>
      <c r="U29" s="90"/>
      <c r="V29" s="90"/>
    </row>
    <row r="30" spans="1:22" s="84" customFormat="1" ht="14.25">
      <c r="A30" s="85" t="s">
        <v>144</v>
      </c>
      <c r="B30" s="83">
        <f>SUM(B23:B29)</f>
        <v>138376.66999999998</v>
      </c>
      <c r="C30" s="83">
        <f aca="true" t="shared" si="6" ref="C30:S30">SUM(C23:C29)</f>
        <v>95646.67</v>
      </c>
      <c r="D30" s="83">
        <f t="shared" si="6"/>
        <v>0</v>
      </c>
      <c r="E30" s="83">
        <f t="shared" si="6"/>
        <v>0</v>
      </c>
      <c r="F30" s="83">
        <f t="shared" si="6"/>
        <v>59106.67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 t="shared" si="6"/>
        <v>56536.67</v>
      </c>
      <c r="K30" s="83">
        <f t="shared" si="6"/>
        <v>0</v>
      </c>
      <c r="L30" s="83">
        <f t="shared" si="6"/>
        <v>24340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 t="shared" si="6"/>
        <v>37176.67</v>
      </c>
      <c r="R30" s="83">
        <f t="shared" si="6"/>
        <v>0</v>
      </c>
      <c r="S30" s="83">
        <f t="shared" si="6"/>
        <v>0</v>
      </c>
      <c r="T30" s="83">
        <f>SUM(B30:S30)</f>
        <v>411183.3499999999</v>
      </c>
      <c r="U30" s="90"/>
      <c r="V30" s="90"/>
    </row>
    <row r="31" spans="1:22" s="84" customFormat="1" ht="14.25">
      <c r="A31" s="85" t="s">
        <v>145</v>
      </c>
      <c r="B31" s="83">
        <f>SUM(138376.67)</f>
        <v>138376.67</v>
      </c>
      <c r="C31" s="83">
        <f>SUM(95646.67)</f>
        <v>95646.67</v>
      </c>
      <c r="D31" s="83">
        <v>0</v>
      </c>
      <c r="E31" s="83">
        <v>0</v>
      </c>
      <c r="F31" s="83">
        <f>SUM(59106.67)</f>
        <v>59106.67</v>
      </c>
      <c r="G31" s="83">
        <v>0</v>
      </c>
      <c r="H31" s="83">
        <v>0</v>
      </c>
      <c r="I31" s="83">
        <v>0</v>
      </c>
      <c r="J31" s="83">
        <f>SUM(56536.67)</f>
        <v>56536.67</v>
      </c>
      <c r="K31" s="83">
        <v>0</v>
      </c>
      <c r="L31" s="83">
        <f>SUM(24340)</f>
        <v>24340</v>
      </c>
      <c r="M31" s="83">
        <v>0</v>
      </c>
      <c r="N31" s="83">
        <v>0</v>
      </c>
      <c r="O31" s="83">
        <v>0</v>
      </c>
      <c r="P31" s="83">
        <v>0</v>
      </c>
      <c r="Q31" s="83">
        <f>SUM(37176.67)</f>
        <v>37176.67</v>
      </c>
      <c r="R31" s="83">
        <v>0</v>
      </c>
      <c r="S31" s="83">
        <v>0</v>
      </c>
      <c r="T31" s="83">
        <f>SUM(B31:S31)</f>
        <v>411183.35</v>
      </c>
      <c r="U31" s="90"/>
      <c r="V31" s="90"/>
    </row>
    <row r="32" spans="1:22" s="84" customFormat="1" ht="14.25">
      <c r="A32" s="195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1000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1000</v>
      </c>
      <c r="U33" s="90"/>
      <c r="V33" s="90"/>
    </row>
    <row r="34" spans="1:22" s="84" customFormat="1" ht="14.25">
      <c r="A34" s="82">
        <v>310400</v>
      </c>
      <c r="B34" s="83">
        <v>4550</v>
      </c>
      <c r="C34" s="83">
        <v>3500</v>
      </c>
      <c r="D34" s="83">
        <v>0</v>
      </c>
      <c r="E34" s="83">
        <v>0</v>
      </c>
      <c r="F34" s="83">
        <v>2400</v>
      </c>
      <c r="G34" s="83">
        <v>0</v>
      </c>
      <c r="H34" s="83">
        <v>0</v>
      </c>
      <c r="I34" s="83">
        <v>0</v>
      </c>
      <c r="J34" s="83">
        <v>1600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2400</v>
      </c>
      <c r="R34" s="83">
        <v>0</v>
      </c>
      <c r="S34" s="83">
        <v>0</v>
      </c>
      <c r="T34" s="83">
        <f t="shared" si="7"/>
        <v>14450</v>
      </c>
      <c r="U34" s="90"/>
      <c r="V34" s="90"/>
    </row>
    <row r="35" spans="1:22" s="84" customFormat="1" ht="14.25">
      <c r="A35" s="82">
        <v>310500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0</v>
      </c>
      <c r="U35" s="90"/>
      <c r="V35" s="90"/>
    </row>
    <row r="36" spans="1:22" s="84" customFormat="1" ht="14.25">
      <c r="A36" s="82">
        <v>310600</v>
      </c>
      <c r="B36" s="83">
        <v>831</v>
      </c>
      <c r="C36" s="83">
        <v>7157</v>
      </c>
      <c r="D36" s="83">
        <v>0</v>
      </c>
      <c r="E36" s="83">
        <v>0</v>
      </c>
      <c r="F36" s="83">
        <v>713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8701</v>
      </c>
      <c r="U36" s="90"/>
      <c r="V36" s="90"/>
    </row>
    <row r="37" spans="1:22" s="84" customFormat="1" ht="14.25">
      <c r="A37" s="85" t="s">
        <v>144</v>
      </c>
      <c r="B37" s="83">
        <f>SUM(B33:B36)</f>
        <v>5381</v>
      </c>
      <c r="C37" s="83">
        <f aca="true" t="shared" si="8" ref="C37:S37">SUM(C33:C36)</f>
        <v>11657</v>
      </c>
      <c r="D37" s="83">
        <f t="shared" si="8"/>
        <v>0</v>
      </c>
      <c r="E37" s="83">
        <f t="shared" si="8"/>
        <v>0</v>
      </c>
      <c r="F37" s="83">
        <f t="shared" si="8"/>
        <v>3113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1600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2400</v>
      </c>
      <c r="R37" s="83">
        <f t="shared" si="8"/>
        <v>0</v>
      </c>
      <c r="S37" s="83">
        <f t="shared" si="8"/>
        <v>0</v>
      </c>
      <c r="T37" s="83">
        <f t="shared" si="7"/>
        <v>24151</v>
      </c>
      <c r="U37" s="90"/>
      <c r="V37" s="90"/>
    </row>
    <row r="38" spans="1:22" s="84" customFormat="1" ht="14.25">
      <c r="A38" s="85" t="s">
        <v>145</v>
      </c>
      <c r="B38" s="83">
        <f>SUM(5381)</f>
        <v>5381</v>
      </c>
      <c r="C38" s="83">
        <f>SUM(11657)</f>
        <v>11657</v>
      </c>
      <c r="D38" s="83">
        <v>0</v>
      </c>
      <c r="E38" s="83">
        <v>0</v>
      </c>
      <c r="F38" s="83">
        <f>SUM(3113)</f>
        <v>3113</v>
      </c>
      <c r="G38" s="83">
        <v>0</v>
      </c>
      <c r="H38" s="83">
        <v>0</v>
      </c>
      <c r="I38" s="83">
        <v>0</v>
      </c>
      <c r="J38" s="83">
        <f>SUM(1600)</f>
        <v>1600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f>SUM(2400)</f>
        <v>2400</v>
      </c>
      <c r="R38" s="83">
        <v>0</v>
      </c>
      <c r="S38" s="83">
        <v>0</v>
      </c>
      <c r="T38" s="83">
        <f t="shared" si="7"/>
        <v>24151</v>
      </c>
      <c r="U38" s="90"/>
      <c r="V38" s="90"/>
    </row>
    <row r="39" spans="1:22" s="84" customFormat="1" ht="14.25">
      <c r="A39" s="195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0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f>SUM(1000+257277)</f>
        <v>258277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1268</v>
      </c>
      <c r="R42" s="83">
        <v>0</v>
      </c>
      <c r="S42" s="83">
        <v>0</v>
      </c>
      <c r="T42" s="83">
        <f>SUM(B42:S42)</f>
        <v>259545</v>
      </c>
      <c r="U42" s="90"/>
      <c r="V42" s="90"/>
    </row>
    <row r="43" spans="1:22" s="84" customFormat="1" ht="14.25">
      <c r="A43" s="82">
        <v>320400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f>SUM(B43:S43)</f>
        <v>0</v>
      </c>
      <c r="U43" s="90"/>
      <c r="V43" s="90"/>
    </row>
    <row r="44" spans="1:22" s="84" customFormat="1" ht="14.25">
      <c r="A44" s="85" t="s">
        <v>144</v>
      </c>
      <c r="B44" s="83">
        <f>SUM(B40:B43)</f>
        <v>258277</v>
      </c>
      <c r="C44" s="83">
        <f aca="true" t="shared" si="9" ref="C44:S44">SUM(C40:C43)</f>
        <v>0</v>
      </c>
      <c r="D44" s="83">
        <f t="shared" si="9"/>
        <v>0</v>
      </c>
      <c r="E44" s="83">
        <f t="shared" si="9"/>
        <v>0</v>
      </c>
      <c r="F44" s="83">
        <f t="shared" si="9"/>
        <v>0</v>
      </c>
      <c r="G44" s="83">
        <f t="shared" si="9"/>
        <v>0</v>
      </c>
      <c r="H44" s="83">
        <f t="shared" si="9"/>
        <v>0</v>
      </c>
      <c r="I44" s="83">
        <f t="shared" si="9"/>
        <v>0</v>
      </c>
      <c r="J44" s="83">
        <f t="shared" si="9"/>
        <v>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83">
        <f t="shared" si="9"/>
        <v>0</v>
      </c>
      <c r="P44" s="83">
        <f t="shared" si="9"/>
        <v>0</v>
      </c>
      <c r="Q44" s="83">
        <f t="shared" si="9"/>
        <v>1268</v>
      </c>
      <c r="R44" s="83">
        <f t="shared" si="9"/>
        <v>0</v>
      </c>
      <c r="S44" s="83">
        <f t="shared" si="9"/>
        <v>0</v>
      </c>
      <c r="T44" s="83">
        <f>SUM(B44:S44)</f>
        <v>259545</v>
      </c>
      <c r="U44" s="90"/>
      <c r="V44" s="90"/>
    </row>
    <row r="45" spans="1:22" s="84" customFormat="1" ht="14.25">
      <c r="A45" s="85" t="s">
        <v>145</v>
      </c>
      <c r="B45" s="83">
        <f>SUM(258277)</f>
        <v>258277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f>SUM(0)</f>
        <v>0</v>
      </c>
      <c r="M45" s="83">
        <v>0</v>
      </c>
      <c r="N45" s="83">
        <v>0</v>
      </c>
      <c r="O45" s="83">
        <v>0</v>
      </c>
      <c r="P45" s="83">
        <v>0</v>
      </c>
      <c r="Q45" s="83">
        <f>SUM(1268)</f>
        <v>1268</v>
      </c>
      <c r="R45" s="83">
        <v>0</v>
      </c>
      <c r="S45" s="83">
        <v>0</v>
      </c>
      <c r="T45" s="83">
        <f>SUM(B45:S45)</f>
        <v>259545</v>
      </c>
      <c r="U45" s="90"/>
      <c r="V45" s="90"/>
    </row>
    <row r="46" spans="1:22" s="84" customFormat="1" ht="14.25">
      <c r="A46" s="195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0</v>
      </c>
      <c r="U47" s="90"/>
      <c r="V47" s="90"/>
    </row>
    <row r="48" spans="1:22" s="84" customFormat="1" ht="14.25">
      <c r="A48" s="82">
        <v>330200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0</v>
      </c>
      <c r="U48" s="90"/>
      <c r="V48" s="90"/>
    </row>
    <row r="49" spans="1:22" s="84" customFormat="1" ht="14.25">
      <c r="A49" s="82">
        <v>330300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0</v>
      </c>
      <c r="U49" s="90"/>
      <c r="V49" s="90"/>
    </row>
    <row r="50" spans="1:22" s="84" customFormat="1" ht="14.25">
      <c r="A50" s="82">
        <v>330700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0</v>
      </c>
      <c r="U50" s="90"/>
      <c r="V50" s="90"/>
    </row>
    <row r="51" spans="1:22" s="84" customFormat="1" ht="14.25">
      <c r="A51" s="82">
        <v>330800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0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0</v>
      </c>
      <c r="U53" s="90"/>
      <c r="V53" s="90"/>
    </row>
    <row r="54" spans="1:22" s="84" customFormat="1" ht="14.25">
      <c r="A54" s="82">
        <v>331400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f t="shared" si="10"/>
        <v>0</v>
      </c>
      <c r="U54" s="90"/>
      <c r="V54" s="90"/>
    </row>
    <row r="55" spans="1:22" s="84" customFormat="1" ht="14.25">
      <c r="A55" s="85" t="s">
        <v>144</v>
      </c>
      <c r="B55" s="83">
        <f>SUM(B47:B54)</f>
        <v>0</v>
      </c>
      <c r="C55" s="83">
        <f aca="true" t="shared" si="11" ref="C55:S55">SUM(C47:C54)</f>
        <v>0</v>
      </c>
      <c r="D55" s="83">
        <f t="shared" si="11"/>
        <v>0</v>
      </c>
      <c r="E55" s="83">
        <f t="shared" si="11"/>
        <v>0</v>
      </c>
      <c r="F55" s="83">
        <f t="shared" si="11"/>
        <v>0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0</v>
      </c>
      <c r="K55" s="83">
        <f t="shared" si="11"/>
        <v>0</v>
      </c>
      <c r="L55" s="83">
        <f t="shared" si="11"/>
        <v>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0</v>
      </c>
      <c r="R55" s="83">
        <f t="shared" si="11"/>
        <v>0</v>
      </c>
      <c r="S55" s="83">
        <f t="shared" si="11"/>
        <v>0</v>
      </c>
      <c r="T55" s="83">
        <f>SUM(B55:S55)</f>
        <v>0</v>
      </c>
      <c r="U55" s="90"/>
      <c r="V55" s="90"/>
    </row>
    <row r="56" spans="1:22" s="84" customFormat="1" ht="14.25">
      <c r="A56" s="85" t="s">
        <v>145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SUM(0)</f>
        <v>0</v>
      </c>
      <c r="M56" s="83">
        <v>0</v>
      </c>
      <c r="N56" s="83">
        <v>0</v>
      </c>
      <c r="O56" s="83">
        <v>0</v>
      </c>
      <c r="P56" s="83">
        <v>0</v>
      </c>
      <c r="Q56" s="83">
        <f>SUM(0)</f>
        <v>0</v>
      </c>
      <c r="R56" s="83">
        <v>0</v>
      </c>
      <c r="S56" s="83">
        <v>0</v>
      </c>
      <c r="T56" s="83">
        <f>SUM(B56:S56)</f>
        <v>0</v>
      </c>
      <c r="U56" s="90"/>
      <c r="V56" s="90"/>
    </row>
    <row r="57" spans="1:22" s="84" customFormat="1" ht="14.25">
      <c r="A57" s="195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0</v>
      </c>
      <c r="U58" s="90"/>
      <c r="V58" s="90"/>
    </row>
    <row r="59" spans="1:22" s="84" customFormat="1" ht="14.25">
      <c r="A59" s="82">
        <v>340300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0</v>
      </c>
      <c r="U59" s="90"/>
      <c r="V59" s="90"/>
    </row>
    <row r="60" spans="1:22" s="84" customFormat="1" ht="14.25">
      <c r="A60" s="82">
        <v>340400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0</v>
      </c>
      <c r="U60" s="90"/>
      <c r="V60" s="90"/>
    </row>
    <row r="61" spans="1:22" s="84" customFormat="1" ht="14.25">
      <c r="A61" s="82">
        <v>340500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0</v>
      </c>
      <c r="U61" s="90"/>
      <c r="V61" s="90"/>
    </row>
    <row r="62" spans="1:22" s="84" customFormat="1" ht="14.25">
      <c r="A62" s="85" t="s">
        <v>144</v>
      </c>
      <c r="B62" s="83">
        <f>SUM(B58:B61)</f>
        <v>0</v>
      </c>
      <c r="C62" s="83">
        <f aca="true" t="shared" si="12" ref="C62:S62">SUM(C58:C61)</f>
        <v>0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0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0</v>
      </c>
      <c r="U62" s="90"/>
      <c r="V62" s="90"/>
    </row>
    <row r="63" spans="1:22" s="84" customFormat="1" ht="14.25">
      <c r="A63" s="85" t="s">
        <v>145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SUM(0)</f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0</v>
      </c>
      <c r="U63" s="90"/>
      <c r="V63" s="90"/>
    </row>
    <row r="64" spans="1:22" s="84" customFormat="1" ht="14.25">
      <c r="A64" s="195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0</v>
      </c>
      <c r="U70" s="90"/>
      <c r="V70" s="90"/>
    </row>
    <row r="71" spans="1:22" s="84" customFormat="1" ht="14.25">
      <c r="A71" s="85" t="s">
        <v>144</v>
      </c>
      <c r="B71" s="83">
        <f>SUM(B65:B70)</f>
        <v>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0</v>
      </c>
      <c r="U71" s="90"/>
      <c r="V71" s="90"/>
    </row>
    <row r="72" spans="1:22" s="84" customFormat="1" ht="14.25">
      <c r="A72" s="85" t="s">
        <v>145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5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420700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420900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f>SUM(B77:S77)</f>
        <v>0</v>
      </c>
      <c r="U77" s="90"/>
      <c r="V77" s="90"/>
    </row>
    <row r="78" spans="1:22" s="84" customFormat="1" ht="14.25">
      <c r="A78" s="85" t="s">
        <v>144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0</v>
      </c>
      <c r="U78" s="90"/>
      <c r="V78" s="90"/>
    </row>
    <row r="79" spans="1:22" s="84" customFormat="1" ht="14.25">
      <c r="A79" s="85" t="s">
        <v>145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f>SUM(B79:S79)</f>
        <v>0</v>
      </c>
      <c r="U79" s="90"/>
      <c r="V79" s="90"/>
    </row>
    <row r="80" spans="1:22" s="84" customFormat="1" ht="14.25">
      <c r="A80" s="196">
        <v>550000</v>
      </c>
      <c r="B80" s="83"/>
      <c r="C80" s="83"/>
      <c r="D80" s="83"/>
      <c r="E80" s="83"/>
      <c r="F80" s="83"/>
      <c r="G80" s="83">
        <v>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144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145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5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0</v>
      </c>
      <c r="U85" s="90"/>
      <c r="V85" s="90"/>
    </row>
    <row r="86" spans="1:22" s="84" customFormat="1" ht="14.25">
      <c r="A86" s="82">
        <v>610200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144</v>
      </c>
      <c r="B88" s="83">
        <f>SUM(B85:B87)</f>
        <v>0</v>
      </c>
      <c r="C88" s="83">
        <f aca="true" t="shared" si="17" ref="C88:S88">SUM(C85:C87)</f>
        <v>0</v>
      </c>
      <c r="D88" s="83">
        <f t="shared" si="17"/>
        <v>0</v>
      </c>
      <c r="E88" s="83">
        <f t="shared" si="17"/>
        <v>0</v>
      </c>
      <c r="F88" s="83">
        <f t="shared" si="17"/>
        <v>0</v>
      </c>
      <c r="G88" s="83">
        <f t="shared" si="17"/>
        <v>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0</v>
      </c>
      <c r="N88" s="83">
        <f t="shared" si="17"/>
        <v>0</v>
      </c>
      <c r="O88" s="83">
        <f t="shared" si="17"/>
        <v>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0</v>
      </c>
      <c r="U88" s="90"/>
      <c r="V88" s="90"/>
    </row>
    <row r="89" spans="1:22" s="84" customFormat="1" ht="14.25">
      <c r="A89" s="85" t="s">
        <v>145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0</v>
      </c>
      <c r="U89" s="90"/>
      <c r="V89" s="90"/>
    </row>
    <row r="90" spans="1:22" s="84" customFormat="1" ht="14.25">
      <c r="A90" s="85" t="s">
        <v>144</v>
      </c>
      <c r="B90" s="83">
        <f>SUM(B88+B82+B82+B78+B71+B62+B55+B44+B37+B30+B20+B12)</f>
        <v>402034.67</v>
      </c>
      <c r="C90" s="83">
        <f aca="true" t="shared" si="18" ref="C90:S90">SUM(C88+C82+C82+C78+C71+C62+C55+C44+C37+C30+C20+C12)</f>
        <v>107303.67</v>
      </c>
      <c r="D90" s="83">
        <f t="shared" si="18"/>
        <v>0</v>
      </c>
      <c r="E90" s="83">
        <f t="shared" si="18"/>
        <v>0</v>
      </c>
      <c r="F90" s="83">
        <f t="shared" si="18"/>
        <v>62219.67</v>
      </c>
      <c r="G90" s="83">
        <f t="shared" si="18"/>
        <v>0</v>
      </c>
      <c r="H90" s="83">
        <f t="shared" si="18"/>
        <v>0</v>
      </c>
      <c r="I90" s="83">
        <f t="shared" si="18"/>
        <v>0</v>
      </c>
      <c r="J90" s="83">
        <f t="shared" si="18"/>
        <v>58136.67</v>
      </c>
      <c r="K90" s="83">
        <f t="shared" si="18"/>
        <v>0</v>
      </c>
      <c r="L90" s="83">
        <f t="shared" si="18"/>
        <v>24340</v>
      </c>
      <c r="M90" s="83">
        <f t="shared" si="18"/>
        <v>0</v>
      </c>
      <c r="N90" s="83">
        <f t="shared" si="18"/>
        <v>0</v>
      </c>
      <c r="O90" s="83">
        <f t="shared" si="18"/>
        <v>0</v>
      </c>
      <c r="P90" s="83">
        <f t="shared" si="18"/>
        <v>0</v>
      </c>
      <c r="Q90" s="83">
        <f t="shared" si="18"/>
        <v>40844.67</v>
      </c>
      <c r="R90" s="83">
        <f t="shared" si="18"/>
        <v>0</v>
      </c>
      <c r="S90" s="83">
        <f t="shared" si="18"/>
        <v>4500</v>
      </c>
      <c r="T90" s="83">
        <f>SUM(B90:S90)</f>
        <v>699379.3500000001</v>
      </c>
      <c r="U90" s="90"/>
      <c r="V90" s="90"/>
    </row>
    <row r="91" spans="1:22" s="84" customFormat="1" ht="14.25">
      <c r="A91" s="85" t="s">
        <v>145</v>
      </c>
      <c r="B91" s="83">
        <f>SUM(B89+B83+B83+B79+B72+B63+B56+B45+B38+B31+B21+B13)</f>
        <v>402034.67000000004</v>
      </c>
      <c r="C91" s="83">
        <f aca="true" t="shared" si="19" ref="C91:S91">SUM(C89+C83+C83+C79+C72+C63+C56+C45+C38+C31+C21+C13)</f>
        <v>107303.67</v>
      </c>
      <c r="D91" s="83">
        <f t="shared" si="19"/>
        <v>0</v>
      </c>
      <c r="E91" s="83">
        <f t="shared" si="19"/>
        <v>0</v>
      </c>
      <c r="F91" s="83">
        <f t="shared" si="19"/>
        <v>62219.67</v>
      </c>
      <c r="G91" s="83">
        <f t="shared" si="19"/>
        <v>0</v>
      </c>
      <c r="H91" s="83">
        <f t="shared" si="19"/>
        <v>0</v>
      </c>
      <c r="I91" s="83">
        <f t="shared" si="19"/>
        <v>0</v>
      </c>
      <c r="J91" s="83">
        <f t="shared" si="19"/>
        <v>58136.67</v>
      </c>
      <c r="K91" s="83">
        <f t="shared" si="19"/>
        <v>0</v>
      </c>
      <c r="L91" s="83">
        <f t="shared" si="19"/>
        <v>24340</v>
      </c>
      <c r="M91" s="83">
        <f t="shared" si="19"/>
        <v>0</v>
      </c>
      <c r="N91" s="83">
        <f t="shared" si="19"/>
        <v>0</v>
      </c>
      <c r="O91" s="83">
        <f t="shared" si="19"/>
        <v>0</v>
      </c>
      <c r="P91" s="83">
        <f t="shared" si="19"/>
        <v>0</v>
      </c>
      <c r="Q91" s="83">
        <f t="shared" si="19"/>
        <v>40844.67</v>
      </c>
      <c r="R91" s="83">
        <f t="shared" si="19"/>
        <v>0</v>
      </c>
      <c r="S91" s="83">
        <f t="shared" si="19"/>
        <v>4500</v>
      </c>
      <c r="T91" s="83">
        <f>SUM(B91:S91)</f>
        <v>699379.3500000001</v>
      </c>
      <c r="U91" s="90"/>
      <c r="V91" s="90"/>
    </row>
    <row r="92" spans="1:18" ht="16.5">
      <c r="A92" s="234"/>
      <c r="B92" s="234"/>
      <c r="C92" s="234"/>
      <c r="D92" s="13"/>
      <c r="N92" s="234" t="s">
        <v>61</v>
      </c>
      <c r="O92" s="234"/>
      <c r="P92" s="234"/>
      <c r="Q92" s="234"/>
      <c r="R92" s="234"/>
    </row>
  </sheetData>
  <sheetProtection/>
  <mergeCells count="13">
    <mergeCell ref="A92:C92"/>
    <mergeCell ref="N92:R92"/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2013-11-19T09:15:05Z</cp:lastPrinted>
  <dcterms:created xsi:type="dcterms:W3CDTF">2004-02-04T07:28:13Z</dcterms:created>
  <dcterms:modified xsi:type="dcterms:W3CDTF">2014-06-13T06:43:21Z</dcterms:modified>
  <cp:category/>
  <cp:version/>
  <cp:contentType/>
  <cp:contentStatus/>
</cp:coreProperties>
</file>